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wpintra-my.sharepoint.com/personal/ami_wellperform_com/Documents/Desktop/MyProjects/11. Geo4ALL/WP2.2/"/>
    </mc:Choice>
  </mc:AlternateContent>
  <xr:revisionPtr revIDLastSave="331" documentId="8_{D0BF6140-4FF8-49A4-ABA8-EC6794D23BF7}" xr6:coauthVersionLast="47" xr6:coauthVersionMax="47" xr10:uidLastSave="{59DE6EC3-FE26-4EDB-A6BC-4C51758431C8}"/>
  <bookViews>
    <workbookView xWindow="12510" yWindow="3885" windowWidth="38700" windowHeight="15345" xr2:uid="{67A272DC-0BB9-4650-944B-BA8DC814ECCD}"/>
  </bookViews>
  <sheets>
    <sheet name="Risk Register" sheetId="1" r:id="rId1"/>
    <sheet name="Risk Matrix" sheetId="2" r:id="rId2"/>
    <sheet name="Lists"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 r="AT208" i="2"/>
  <c r="AS208" i="2"/>
  <c r="AT207" i="2"/>
  <c r="AS207" i="2"/>
  <c r="AT206" i="2"/>
  <c r="AS206" i="2"/>
  <c r="AT205" i="2"/>
  <c r="AS205" i="2"/>
  <c r="AT204" i="2"/>
  <c r="AS204" i="2"/>
  <c r="AT203" i="2"/>
  <c r="AS203" i="2"/>
  <c r="AT202" i="2"/>
  <c r="AS202" i="2"/>
  <c r="AT201" i="2"/>
  <c r="AS201" i="2"/>
  <c r="AT200" i="2"/>
  <c r="AS200" i="2"/>
  <c r="AT199" i="2"/>
  <c r="AS199" i="2"/>
  <c r="AT198" i="2"/>
  <c r="AS198" i="2"/>
  <c r="AT197" i="2"/>
  <c r="AS197" i="2"/>
  <c r="AT196" i="2"/>
  <c r="AS196" i="2"/>
  <c r="AT195" i="2"/>
  <c r="AS195" i="2"/>
  <c r="AT194" i="2"/>
  <c r="AS194" i="2"/>
  <c r="AT193" i="2"/>
  <c r="AS193" i="2"/>
  <c r="AT192" i="2"/>
  <c r="AS192" i="2"/>
  <c r="AT191" i="2"/>
  <c r="AS191" i="2"/>
  <c r="AT190" i="2"/>
  <c r="AS190" i="2"/>
  <c r="AT189" i="2"/>
  <c r="AS189" i="2"/>
  <c r="AT188" i="2"/>
  <c r="AS188" i="2"/>
  <c r="AT187" i="2"/>
  <c r="AS187" i="2"/>
  <c r="AT186" i="2"/>
  <c r="AS186" i="2"/>
  <c r="AT185" i="2"/>
  <c r="AS185" i="2"/>
  <c r="AT184" i="2"/>
  <c r="AS184" i="2"/>
  <c r="AT183" i="2"/>
  <c r="AS183" i="2"/>
  <c r="AT182" i="2"/>
  <c r="AS182" i="2"/>
  <c r="AT181" i="2"/>
  <c r="AS181" i="2"/>
  <c r="AT180" i="2"/>
  <c r="AS180" i="2"/>
  <c r="AT179" i="2"/>
  <c r="AS179" i="2"/>
  <c r="AT178" i="2"/>
  <c r="AS178" i="2"/>
  <c r="AT177" i="2"/>
  <c r="AS177" i="2"/>
  <c r="AT176" i="2"/>
  <c r="AS176" i="2"/>
  <c r="AT175" i="2"/>
  <c r="AS175" i="2"/>
  <c r="AT174" i="2"/>
  <c r="AS174" i="2"/>
  <c r="AT173" i="2"/>
  <c r="AS173" i="2"/>
  <c r="AT172" i="2"/>
  <c r="AS172" i="2"/>
  <c r="AT171" i="2"/>
  <c r="AS171" i="2"/>
  <c r="AT170" i="2"/>
  <c r="AS170" i="2"/>
  <c r="AT169" i="2"/>
  <c r="AS169" i="2"/>
  <c r="AT168" i="2"/>
  <c r="AS168" i="2"/>
  <c r="AT167" i="2"/>
  <c r="AS167" i="2"/>
  <c r="AT166" i="2"/>
  <c r="AS166" i="2"/>
  <c r="AT165" i="2"/>
  <c r="AS165" i="2"/>
  <c r="AT164" i="2"/>
  <c r="AS164" i="2"/>
  <c r="AT163" i="2"/>
  <c r="AS163" i="2"/>
  <c r="AT162" i="2"/>
  <c r="AS162" i="2"/>
  <c r="AT161" i="2"/>
  <c r="AS161" i="2"/>
  <c r="AT160" i="2"/>
  <c r="AS160" i="2"/>
  <c r="AT159" i="2"/>
  <c r="AS159" i="2"/>
  <c r="AT158" i="2"/>
  <c r="AS158" i="2"/>
  <c r="AT157" i="2"/>
  <c r="AS157" i="2"/>
  <c r="AT156" i="2"/>
  <c r="AS156" i="2"/>
  <c r="AT155" i="2"/>
  <c r="AS155" i="2"/>
  <c r="AT154" i="2"/>
  <c r="AS154" i="2"/>
  <c r="AT153" i="2"/>
  <c r="AS153" i="2"/>
  <c r="AT152" i="2"/>
  <c r="AS152" i="2"/>
  <c r="AT151" i="2"/>
  <c r="AS151" i="2"/>
  <c r="AT150" i="2"/>
  <c r="AS150" i="2"/>
  <c r="AT149" i="2"/>
  <c r="AS149" i="2"/>
  <c r="AT148" i="2"/>
  <c r="AS148" i="2"/>
  <c r="AT147" i="2"/>
  <c r="AS147" i="2"/>
  <c r="AT146" i="2"/>
  <c r="AS146" i="2"/>
  <c r="AT145" i="2"/>
  <c r="AS145" i="2"/>
  <c r="AT144" i="2"/>
  <c r="AS144" i="2"/>
  <c r="AT143" i="2"/>
  <c r="AS143" i="2"/>
  <c r="AT142" i="2"/>
  <c r="AS142" i="2"/>
  <c r="AT141" i="2"/>
  <c r="AS141" i="2"/>
  <c r="AT140" i="2"/>
  <c r="AS140" i="2"/>
  <c r="AT139" i="2"/>
  <c r="AS139" i="2"/>
  <c r="AT138" i="2"/>
  <c r="AS138" i="2"/>
  <c r="AT137" i="2"/>
  <c r="AS137" i="2"/>
  <c r="AT136" i="2"/>
  <c r="AS136" i="2"/>
  <c r="AT135" i="2"/>
  <c r="AS135" i="2"/>
  <c r="AT134" i="2"/>
  <c r="AS134" i="2"/>
  <c r="AT133" i="2"/>
  <c r="AS133" i="2"/>
  <c r="AT132" i="2"/>
  <c r="AS132" i="2"/>
  <c r="AT131" i="2"/>
  <c r="AS131" i="2"/>
  <c r="AT130" i="2"/>
  <c r="AS130" i="2"/>
  <c r="AT129" i="2"/>
  <c r="AS129" i="2"/>
  <c r="AT128" i="2"/>
  <c r="AS128" i="2"/>
  <c r="AT127" i="2"/>
  <c r="AS127" i="2"/>
  <c r="AT126" i="2"/>
  <c r="AS126" i="2"/>
  <c r="AT125" i="2"/>
  <c r="AS125" i="2"/>
  <c r="AT124" i="2"/>
  <c r="AS124" i="2"/>
  <c r="AT123" i="2"/>
  <c r="AS123" i="2"/>
  <c r="AT122" i="2"/>
  <c r="AS122" i="2"/>
  <c r="AT121" i="2"/>
  <c r="AS121" i="2"/>
  <c r="AT120" i="2"/>
  <c r="AS120" i="2"/>
  <c r="AT119" i="2"/>
  <c r="AS119" i="2"/>
  <c r="AT118" i="2"/>
  <c r="AS118" i="2"/>
  <c r="AT117" i="2"/>
  <c r="AS117" i="2"/>
  <c r="AT116" i="2"/>
  <c r="AS116" i="2"/>
  <c r="AT115" i="2"/>
  <c r="AS115" i="2"/>
  <c r="AT114" i="2"/>
  <c r="AS114" i="2"/>
  <c r="AT113" i="2"/>
  <c r="AS113" i="2"/>
  <c r="AT112" i="2"/>
  <c r="AS112" i="2"/>
  <c r="AT111" i="2"/>
  <c r="AS111" i="2"/>
  <c r="AT110" i="2"/>
  <c r="AS110" i="2"/>
  <c r="AT109" i="2"/>
  <c r="AS109" i="2"/>
  <c r="AT108" i="2"/>
  <c r="AS108" i="2"/>
  <c r="AT107" i="2"/>
  <c r="AS107" i="2"/>
  <c r="AT106" i="2"/>
  <c r="AS106" i="2"/>
  <c r="AT105" i="2"/>
  <c r="AS105" i="2"/>
  <c r="AT104" i="2"/>
  <c r="AS104" i="2"/>
  <c r="AT103" i="2"/>
  <c r="AS103" i="2"/>
  <c r="AT102" i="2"/>
  <c r="AS102" i="2"/>
  <c r="AT101" i="2"/>
  <c r="AS101" i="2"/>
  <c r="AT100" i="2"/>
  <c r="AS100" i="2"/>
  <c r="AT99" i="2"/>
  <c r="AS99" i="2"/>
  <c r="AT98" i="2"/>
  <c r="AS98" i="2"/>
  <c r="AT97" i="2"/>
  <c r="AS97" i="2"/>
  <c r="AT96" i="2"/>
  <c r="AS96" i="2"/>
  <c r="AT95" i="2"/>
  <c r="AS95" i="2"/>
  <c r="AT94" i="2"/>
  <c r="AS94" i="2"/>
  <c r="AT93" i="2"/>
  <c r="AS93" i="2"/>
  <c r="AT92" i="2"/>
  <c r="AS92" i="2"/>
  <c r="AT91" i="2"/>
  <c r="AS91" i="2"/>
  <c r="AT90" i="2"/>
  <c r="AS90" i="2"/>
  <c r="AT89" i="2"/>
  <c r="AS89" i="2"/>
  <c r="AT88" i="2"/>
  <c r="AS88" i="2"/>
  <c r="AT87" i="2"/>
  <c r="AS87" i="2"/>
  <c r="AT86" i="2"/>
  <c r="AS86" i="2"/>
  <c r="AT85" i="2"/>
  <c r="AS85" i="2"/>
  <c r="AT84" i="2"/>
  <c r="AS84" i="2"/>
  <c r="AT83" i="2"/>
  <c r="AS83" i="2"/>
  <c r="AT82" i="2"/>
  <c r="AS82" i="2"/>
  <c r="AT81" i="2"/>
  <c r="AS81" i="2"/>
  <c r="AT80" i="2"/>
  <c r="AS80" i="2"/>
  <c r="AT79" i="2"/>
  <c r="AS79" i="2"/>
  <c r="AT78" i="2"/>
  <c r="AS78" i="2"/>
  <c r="AT77" i="2"/>
  <c r="AS77" i="2"/>
  <c r="AT76" i="2"/>
  <c r="AS76" i="2"/>
  <c r="AT75" i="2"/>
  <c r="AS75" i="2"/>
  <c r="AT74" i="2"/>
  <c r="AS74" i="2"/>
  <c r="AT73" i="2"/>
  <c r="AS73" i="2"/>
  <c r="AT72" i="2"/>
  <c r="AS72" i="2"/>
  <c r="AT71" i="2"/>
  <c r="AS71" i="2"/>
  <c r="AT70" i="2"/>
  <c r="AS70" i="2"/>
  <c r="AT69" i="2"/>
  <c r="AS69" i="2"/>
  <c r="AT68" i="2"/>
  <c r="AS68" i="2"/>
  <c r="AT67" i="2"/>
  <c r="AS67" i="2"/>
  <c r="AT66" i="2"/>
  <c r="AS66" i="2"/>
  <c r="AT65" i="2"/>
  <c r="AS65" i="2"/>
  <c r="AT64" i="2"/>
  <c r="AS64" i="2"/>
  <c r="AT63" i="2"/>
  <c r="AS63" i="2"/>
  <c r="AT62" i="2"/>
  <c r="AS62" i="2"/>
  <c r="AT61" i="2"/>
  <c r="AS61" i="2"/>
  <c r="AT60" i="2"/>
  <c r="AS60" i="2"/>
  <c r="AT59" i="2"/>
  <c r="AS59" i="2"/>
  <c r="AT58" i="2"/>
  <c r="AS58" i="2"/>
  <c r="AT57" i="2"/>
  <c r="AS57" i="2"/>
  <c r="AT56" i="2"/>
  <c r="AS56" i="2"/>
  <c r="AT55" i="2"/>
  <c r="AS55" i="2"/>
  <c r="AT54" i="2"/>
  <c r="AS54" i="2"/>
  <c r="AT53" i="2"/>
  <c r="AS53" i="2"/>
  <c r="AT52" i="2"/>
  <c r="AS52" i="2"/>
  <c r="AT51" i="2"/>
  <c r="AS51" i="2"/>
  <c r="AT50" i="2"/>
  <c r="AS50" i="2"/>
  <c r="AT49" i="2"/>
  <c r="AS49" i="2"/>
  <c r="AT48" i="2"/>
  <c r="AS48" i="2"/>
  <c r="AT47" i="2"/>
  <c r="AS47" i="2"/>
  <c r="AT46" i="2"/>
  <c r="AS46" i="2"/>
  <c r="AT45" i="2"/>
  <c r="AS45" i="2"/>
  <c r="AT44" i="2"/>
  <c r="AS44" i="2"/>
  <c r="AT43" i="2"/>
  <c r="AS43" i="2"/>
  <c r="AT42" i="2"/>
  <c r="AS42" i="2"/>
  <c r="AT41" i="2"/>
  <c r="AS41" i="2"/>
  <c r="AT40" i="2"/>
  <c r="AS40" i="2"/>
  <c r="AT39" i="2"/>
  <c r="AS39" i="2"/>
  <c r="AT38" i="2"/>
  <c r="AS38" i="2"/>
  <c r="AT37" i="2"/>
  <c r="AS37" i="2"/>
  <c r="AT36" i="2"/>
  <c r="AS36" i="2"/>
  <c r="AT35" i="2"/>
  <c r="AS35" i="2"/>
  <c r="AT34" i="2"/>
  <c r="AS34" i="2"/>
  <c r="AT33" i="2"/>
  <c r="AS33" i="2"/>
  <c r="AT32" i="2"/>
  <c r="AS32" i="2"/>
  <c r="AT31" i="2"/>
  <c r="AS31" i="2"/>
  <c r="AT30" i="2"/>
  <c r="AS30" i="2"/>
  <c r="AT29" i="2"/>
  <c r="AS29" i="2"/>
  <c r="AT28" i="2"/>
  <c r="AS28" i="2"/>
  <c r="AT27" i="2"/>
  <c r="AS27" i="2"/>
  <c r="AT26" i="2"/>
  <c r="AS26" i="2"/>
  <c r="AT25" i="2"/>
  <c r="AS25" i="2"/>
  <c r="AT24" i="2"/>
  <c r="AS24" i="2"/>
  <c r="AT23" i="2"/>
  <c r="AS23" i="2"/>
  <c r="AT22" i="2"/>
  <c r="AS22" i="2"/>
  <c r="AT21" i="2"/>
  <c r="AS21" i="2"/>
  <c r="AT20" i="2"/>
  <c r="AS20" i="2"/>
  <c r="AT19" i="2"/>
  <c r="AS19" i="2"/>
  <c r="AT18" i="2"/>
  <c r="AS18" i="2"/>
  <c r="AT17" i="2"/>
  <c r="AS17" i="2"/>
  <c r="AT16" i="2"/>
  <c r="AS16" i="2"/>
  <c r="AT15" i="2"/>
  <c r="AS15" i="2"/>
  <c r="AT14" i="2"/>
  <c r="AS14" i="2"/>
  <c r="AT13" i="2"/>
  <c r="AS13" i="2"/>
  <c r="AT12" i="2"/>
  <c r="AS12" i="2"/>
  <c r="AT11" i="2"/>
  <c r="AS11" i="2"/>
  <c r="AT10" i="2"/>
  <c r="AS10" i="2"/>
  <c r="AT9" i="2"/>
  <c r="AS9" i="2"/>
  <c r="AT8" i="2"/>
  <c r="AS8" i="2"/>
  <c r="B8" i="2"/>
  <c r="D5" i="2"/>
  <c r="R206" i="1"/>
  <c r="Q206" i="1"/>
  <c r="P206" i="1"/>
  <c r="O206" i="1"/>
  <c r="R205" i="1"/>
  <c r="Q205" i="1"/>
  <c r="P205" i="1"/>
  <c r="O205" i="1"/>
  <c r="R204" i="1"/>
  <c r="Q204" i="1"/>
  <c r="P204" i="1"/>
  <c r="O204" i="1"/>
  <c r="R203" i="1"/>
  <c r="Q203" i="1"/>
  <c r="P203" i="1"/>
  <c r="O203" i="1"/>
  <c r="R202" i="1"/>
  <c r="Q202" i="1"/>
  <c r="P202" i="1"/>
  <c r="O202" i="1"/>
  <c r="R201" i="1"/>
  <c r="Q201" i="1"/>
  <c r="P201" i="1"/>
  <c r="O201" i="1"/>
  <c r="R200" i="1"/>
  <c r="Q200" i="1"/>
  <c r="P200" i="1"/>
  <c r="O200" i="1"/>
  <c r="R199" i="1"/>
  <c r="Q199" i="1"/>
  <c r="P199" i="1"/>
  <c r="O199" i="1"/>
  <c r="R198" i="1"/>
  <c r="Q198" i="1"/>
  <c r="P198" i="1"/>
  <c r="O198" i="1"/>
  <c r="R197" i="1"/>
  <c r="Q197" i="1"/>
  <c r="P197" i="1"/>
  <c r="O197" i="1"/>
  <c r="R196" i="1"/>
  <c r="Q196" i="1"/>
  <c r="P196" i="1"/>
  <c r="O196" i="1"/>
  <c r="R195" i="1"/>
  <c r="Q195" i="1"/>
  <c r="P195" i="1"/>
  <c r="O195" i="1"/>
  <c r="R194" i="1"/>
  <c r="Q194" i="1"/>
  <c r="P194" i="1"/>
  <c r="O194" i="1"/>
  <c r="R193" i="1"/>
  <c r="Q193" i="1"/>
  <c r="P193" i="1"/>
  <c r="O193" i="1"/>
  <c r="R192" i="1"/>
  <c r="Q192" i="1"/>
  <c r="P192" i="1"/>
  <c r="O192" i="1"/>
  <c r="R191" i="1"/>
  <c r="Q191" i="1"/>
  <c r="P191" i="1"/>
  <c r="O191" i="1"/>
  <c r="R190" i="1"/>
  <c r="Q190" i="1"/>
  <c r="P190" i="1"/>
  <c r="O190" i="1"/>
  <c r="R189" i="1"/>
  <c r="Q189" i="1"/>
  <c r="P189" i="1"/>
  <c r="O189" i="1"/>
  <c r="R188" i="1"/>
  <c r="Q188" i="1"/>
  <c r="P188" i="1"/>
  <c r="O188" i="1"/>
  <c r="R187" i="1"/>
  <c r="Q187" i="1"/>
  <c r="P187" i="1"/>
  <c r="O187" i="1"/>
  <c r="R186" i="1"/>
  <c r="Q186" i="1"/>
  <c r="P186" i="1"/>
  <c r="O186" i="1"/>
  <c r="R185" i="1"/>
  <c r="Q185" i="1"/>
  <c r="P185" i="1"/>
  <c r="O185" i="1"/>
  <c r="R184" i="1"/>
  <c r="Q184" i="1"/>
  <c r="P184" i="1"/>
  <c r="O184" i="1"/>
  <c r="R183" i="1"/>
  <c r="Q183" i="1"/>
  <c r="P183" i="1"/>
  <c r="O183" i="1"/>
  <c r="R182" i="1"/>
  <c r="Q182" i="1"/>
  <c r="P182" i="1"/>
  <c r="O182" i="1"/>
  <c r="R181" i="1"/>
  <c r="Q181" i="1"/>
  <c r="P181" i="1"/>
  <c r="O181" i="1"/>
  <c r="R180" i="1"/>
  <c r="Q180" i="1"/>
  <c r="P180" i="1"/>
  <c r="O180" i="1"/>
  <c r="R179" i="1"/>
  <c r="Q179" i="1"/>
  <c r="P179" i="1"/>
  <c r="O179" i="1"/>
  <c r="R178" i="1"/>
  <c r="Q178" i="1"/>
  <c r="P178" i="1"/>
  <c r="O178" i="1"/>
  <c r="R177" i="1"/>
  <c r="Q177" i="1"/>
  <c r="P177" i="1"/>
  <c r="O177" i="1"/>
  <c r="R176" i="1"/>
  <c r="Q176" i="1"/>
  <c r="P176" i="1"/>
  <c r="O176" i="1"/>
  <c r="R175" i="1"/>
  <c r="Q175" i="1"/>
  <c r="P175" i="1"/>
  <c r="O175" i="1"/>
  <c r="R174" i="1"/>
  <c r="Q174" i="1"/>
  <c r="P174" i="1"/>
  <c r="O174" i="1"/>
  <c r="R173" i="1"/>
  <c r="Q173" i="1"/>
  <c r="P173" i="1"/>
  <c r="O173" i="1"/>
  <c r="R172" i="1"/>
  <c r="Q172" i="1"/>
  <c r="P172" i="1"/>
  <c r="O172" i="1"/>
  <c r="R171" i="1"/>
  <c r="Q171" i="1"/>
  <c r="P171" i="1"/>
  <c r="O171" i="1"/>
  <c r="R170" i="1"/>
  <c r="Q170" i="1"/>
  <c r="P170" i="1"/>
  <c r="O170" i="1"/>
  <c r="R169" i="1"/>
  <c r="Q169" i="1"/>
  <c r="P169" i="1"/>
  <c r="O169" i="1"/>
  <c r="R168" i="1"/>
  <c r="Q168" i="1"/>
  <c r="P168" i="1"/>
  <c r="O168" i="1"/>
  <c r="R167" i="1"/>
  <c r="Q167" i="1"/>
  <c r="P167" i="1"/>
  <c r="O167" i="1"/>
  <c r="R166" i="1"/>
  <c r="Q166" i="1"/>
  <c r="P166" i="1"/>
  <c r="O166" i="1"/>
  <c r="R165" i="1"/>
  <c r="Q165" i="1"/>
  <c r="P165" i="1"/>
  <c r="O165" i="1"/>
  <c r="R164" i="1"/>
  <c r="Q164" i="1"/>
  <c r="P164" i="1"/>
  <c r="O164" i="1"/>
  <c r="R163" i="1"/>
  <c r="Q163" i="1"/>
  <c r="P163" i="1"/>
  <c r="O163" i="1"/>
  <c r="R162" i="1"/>
  <c r="Q162" i="1"/>
  <c r="P162" i="1"/>
  <c r="O162" i="1"/>
  <c r="R161" i="1"/>
  <c r="Q161" i="1"/>
  <c r="P161" i="1"/>
  <c r="O161" i="1"/>
  <c r="R160" i="1"/>
  <c r="Q160" i="1"/>
  <c r="P160" i="1"/>
  <c r="O160" i="1"/>
  <c r="R159" i="1"/>
  <c r="Q159" i="1"/>
  <c r="P159" i="1"/>
  <c r="O159" i="1"/>
  <c r="R158" i="1"/>
  <c r="Q158" i="1"/>
  <c r="P158" i="1"/>
  <c r="O158" i="1"/>
  <c r="R157" i="1"/>
  <c r="Q157" i="1"/>
  <c r="P157" i="1"/>
  <c r="O157" i="1"/>
  <c r="R156" i="1"/>
  <c r="Q156" i="1"/>
  <c r="P156" i="1"/>
  <c r="O156" i="1"/>
  <c r="R155" i="1"/>
  <c r="Q155" i="1"/>
  <c r="P155" i="1"/>
  <c r="O155" i="1"/>
  <c r="R154" i="1"/>
  <c r="Q154" i="1"/>
  <c r="P154" i="1"/>
  <c r="O154" i="1"/>
  <c r="R153" i="1"/>
  <c r="Q153" i="1"/>
  <c r="P153" i="1"/>
  <c r="O153" i="1"/>
  <c r="R152" i="1"/>
  <c r="Q152" i="1"/>
  <c r="P152" i="1"/>
  <c r="O152" i="1"/>
  <c r="R151" i="1"/>
  <c r="Q151" i="1"/>
  <c r="P151" i="1"/>
  <c r="O151" i="1"/>
  <c r="R150" i="1"/>
  <c r="Q150" i="1"/>
  <c r="P150" i="1"/>
  <c r="O150" i="1"/>
  <c r="R149" i="1"/>
  <c r="Q149" i="1"/>
  <c r="P149" i="1"/>
  <c r="O149" i="1"/>
  <c r="R148" i="1"/>
  <c r="Q148" i="1"/>
  <c r="P148" i="1"/>
  <c r="O148" i="1"/>
  <c r="R147" i="1"/>
  <c r="Q147" i="1"/>
  <c r="P147" i="1"/>
  <c r="O147" i="1"/>
  <c r="R146" i="1"/>
  <c r="Q146" i="1"/>
  <c r="P146" i="1"/>
  <c r="O146" i="1"/>
  <c r="R145" i="1"/>
  <c r="Q145" i="1"/>
  <c r="P145" i="1"/>
  <c r="O145" i="1"/>
  <c r="R144" i="1"/>
  <c r="Q144" i="1"/>
  <c r="P144" i="1"/>
  <c r="O144" i="1"/>
  <c r="R143" i="1"/>
  <c r="Q143" i="1"/>
  <c r="P143" i="1"/>
  <c r="O143" i="1"/>
  <c r="R142" i="1"/>
  <c r="Q142" i="1"/>
  <c r="P142" i="1"/>
  <c r="O142" i="1"/>
  <c r="R141" i="1"/>
  <c r="Q141" i="1"/>
  <c r="P141" i="1"/>
  <c r="O141" i="1"/>
  <c r="R140" i="1"/>
  <c r="Q140" i="1"/>
  <c r="P140" i="1"/>
  <c r="O140" i="1"/>
  <c r="R139" i="1"/>
  <c r="Q139" i="1"/>
  <c r="P139" i="1"/>
  <c r="O139" i="1"/>
  <c r="R138" i="1"/>
  <c r="Q138" i="1"/>
  <c r="P138" i="1"/>
  <c r="O138" i="1"/>
  <c r="R137" i="1"/>
  <c r="Q137" i="1"/>
  <c r="P137" i="1"/>
  <c r="O137" i="1"/>
  <c r="R136" i="1"/>
  <c r="Q136" i="1"/>
  <c r="P136" i="1"/>
  <c r="O136" i="1"/>
  <c r="R135" i="1"/>
  <c r="Q135" i="1"/>
  <c r="P135" i="1"/>
  <c r="O135" i="1"/>
  <c r="R134" i="1"/>
  <c r="Q134" i="1"/>
  <c r="P134" i="1"/>
  <c r="O134" i="1"/>
  <c r="R133" i="1"/>
  <c r="Q133" i="1"/>
  <c r="P133" i="1"/>
  <c r="O133" i="1"/>
  <c r="R132" i="1"/>
  <c r="Q132" i="1"/>
  <c r="P132" i="1"/>
  <c r="O132" i="1"/>
  <c r="R131" i="1"/>
  <c r="Q131" i="1"/>
  <c r="P131" i="1"/>
  <c r="O131" i="1"/>
  <c r="R130" i="1"/>
  <c r="Q130" i="1"/>
  <c r="P130" i="1"/>
  <c r="O130" i="1"/>
  <c r="R129" i="1"/>
  <c r="Q129" i="1"/>
  <c r="P129" i="1"/>
  <c r="O129" i="1"/>
  <c r="R128" i="1"/>
  <c r="Q128" i="1"/>
  <c r="P128" i="1"/>
  <c r="O128" i="1"/>
  <c r="R127" i="1"/>
  <c r="Q127" i="1"/>
  <c r="P127" i="1"/>
  <c r="O127" i="1"/>
  <c r="R126" i="1"/>
  <c r="Q126" i="1"/>
  <c r="P126" i="1"/>
  <c r="O126" i="1"/>
  <c r="R125" i="1"/>
  <c r="Q125" i="1"/>
  <c r="P125" i="1"/>
  <c r="O125" i="1"/>
  <c r="R124" i="1"/>
  <c r="Q124" i="1"/>
  <c r="P124" i="1"/>
  <c r="O124" i="1"/>
  <c r="R123" i="1"/>
  <c r="Q123" i="1"/>
  <c r="P123" i="1"/>
  <c r="O123" i="1"/>
  <c r="R122" i="1"/>
  <c r="Q122" i="1"/>
  <c r="P122" i="1"/>
  <c r="O122" i="1"/>
  <c r="R121" i="1"/>
  <c r="Q121" i="1"/>
  <c r="P121" i="1"/>
  <c r="O121" i="1"/>
  <c r="R120" i="1"/>
  <c r="Q120" i="1"/>
  <c r="P120" i="1"/>
  <c r="O120" i="1"/>
  <c r="R119" i="1"/>
  <c r="Q119" i="1"/>
  <c r="P119" i="1"/>
  <c r="O119" i="1"/>
  <c r="R118" i="1"/>
  <c r="Q118" i="1"/>
  <c r="P118" i="1"/>
  <c r="O118" i="1"/>
  <c r="R117" i="1"/>
  <c r="Q117" i="1"/>
  <c r="P117" i="1"/>
  <c r="O117" i="1"/>
  <c r="R116" i="1"/>
  <c r="Q116" i="1"/>
  <c r="P116" i="1"/>
  <c r="O116" i="1"/>
  <c r="R115" i="1"/>
  <c r="Q115" i="1"/>
  <c r="P115" i="1"/>
  <c r="O115" i="1"/>
  <c r="R114" i="1"/>
  <c r="Q114" i="1"/>
  <c r="P114" i="1"/>
  <c r="O114" i="1"/>
  <c r="R113" i="1"/>
  <c r="Q113" i="1"/>
  <c r="P113" i="1"/>
  <c r="O113" i="1"/>
  <c r="R112" i="1"/>
  <c r="Q112" i="1"/>
  <c r="P112" i="1"/>
  <c r="O112" i="1"/>
  <c r="R111" i="1"/>
  <c r="Q111" i="1"/>
  <c r="P111" i="1"/>
  <c r="O111" i="1"/>
  <c r="R110" i="1"/>
  <c r="Q110" i="1"/>
  <c r="P110" i="1"/>
  <c r="O110" i="1"/>
  <c r="R109" i="1"/>
  <c r="Q109" i="1"/>
  <c r="P109" i="1"/>
  <c r="O109" i="1"/>
  <c r="P108" i="1"/>
  <c r="O108" i="1"/>
  <c r="P107" i="1"/>
  <c r="O107" i="1"/>
  <c r="P106" i="1"/>
  <c r="O106" i="1"/>
  <c r="P105" i="1"/>
  <c r="O105" i="1"/>
  <c r="P104" i="1"/>
  <c r="O104" i="1"/>
  <c r="P103" i="1"/>
  <c r="O103" i="1"/>
  <c r="P102" i="1"/>
  <c r="O102" i="1"/>
  <c r="P101" i="1"/>
  <c r="O101" i="1"/>
  <c r="P100" i="1"/>
  <c r="O100" i="1"/>
  <c r="P99" i="1"/>
  <c r="O99" i="1"/>
  <c r="P98" i="1"/>
  <c r="O98" i="1"/>
  <c r="P97" i="1"/>
  <c r="O97" i="1"/>
  <c r="P96" i="1"/>
  <c r="O96" i="1"/>
  <c r="P95" i="1"/>
  <c r="O95" i="1"/>
  <c r="P94" i="1"/>
  <c r="O94" i="1"/>
  <c r="P93" i="1"/>
  <c r="O93" i="1"/>
  <c r="P92" i="1"/>
  <c r="O92" i="1"/>
  <c r="P91" i="1"/>
  <c r="O91" i="1"/>
  <c r="P90" i="1"/>
  <c r="O90" i="1"/>
  <c r="P89" i="1"/>
  <c r="O89" i="1"/>
  <c r="P88" i="1"/>
  <c r="O88" i="1"/>
  <c r="P87" i="1"/>
  <c r="O87" i="1"/>
  <c r="P86" i="1"/>
  <c r="O86" i="1"/>
  <c r="P85" i="1"/>
  <c r="O85" i="1"/>
  <c r="P84" i="1"/>
  <c r="O84" i="1"/>
  <c r="P83" i="1"/>
  <c r="O83" i="1"/>
  <c r="P82" i="1"/>
  <c r="O82" i="1"/>
  <c r="P81" i="1"/>
  <c r="O81" i="1"/>
  <c r="P80" i="1"/>
  <c r="O80" i="1"/>
  <c r="P79" i="1"/>
  <c r="O79" i="1"/>
  <c r="P78" i="1"/>
  <c r="O78" i="1"/>
  <c r="P77" i="1"/>
  <c r="O77" i="1"/>
  <c r="P76" i="1"/>
  <c r="O76" i="1"/>
  <c r="P75" i="1"/>
  <c r="O75" i="1"/>
  <c r="P74" i="1"/>
  <c r="O74" i="1"/>
  <c r="P73" i="1"/>
  <c r="O73" i="1"/>
  <c r="P72" i="1"/>
  <c r="O72" i="1"/>
  <c r="P71" i="1"/>
  <c r="O71" i="1"/>
  <c r="P70" i="1"/>
  <c r="O70" i="1"/>
  <c r="P69" i="1"/>
  <c r="O69" i="1"/>
  <c r="P68" i="1"/>
  <c r="O68" i="1"/>
  <c r="P67" i="1"/>
  <c r="O67" i="1"/>
  <c r="P66" i="1"/>
  <c r="O66" i="1"/>
  <c r="P65" i="1"/>
  <c r="O65" i="1"/>
  <c r="P64" i="1"/>
  <c r="O64" i="1"/>
  <c r="P63" i="1"/>
  <c r="O63" i="1"/>
  <c r="P62" i="1"/>
  <c r="O62" i="1"/>
  <c r="P61" i="1"/>
  <c r="O61" i="1"/>
  <c r="P60" i="1"/>
  <c r="O60" i="1"/>
  <c r="P59" i="1"/>
  <c r="O59" i="1"/>
  <c r="P58" i="1"/>
  <c r="O58" i="1"/>
  <c r="P57" i="1"/>
  <c r="O57" i="1"/>
  <c r="P56" i="1"/>
  <c r="O56" i="1"/>
  <c r="P55" i="1"/>
  <c r="O55" i="1"/>
  <c r="P54" i="1"/>
  <c r="O54" i="1"/>
  <c r="P53" i="1"/>
  <c r="O53" i="1"/>
  <c r="P52" i="1"/>
  <c r="O52" i="1"/>
  <c r="P51" i="1"/>
  <c r="O51" i="1"/>
  <c r="P50" i="1"/>
  <c r="O50" i="1"/>
  <c r="P49" i="1"/>
  <c r="O49" i="1"/>
  <c r="P48" i="1"/>
  <c r="O48" i="1"/>
  <c r="P47" i="1"/>
  <c r="O47" i="1"/>
  <c r="P46" i="1"/>
  <c r="O46" i="1"/>
  <c r="P45" i="1"/>
  <c r="O45" i="1"/>
  <c r="P44" i="1"/>
  <c r="O44" i="1"/>
  <c r="P43" i="1"/>
  <c r="O43" i="1"/>
  <c r="P42" i="1"/>
  <c r="O42" i="1"/>
  <c r="P41" i="1"/>
  <c r="O41" i="1"/>
  <c r="P40" i="1"/>
  <c r="O40" i="1"/>
  <c r="P39" i="1"/>
  <c r="O39" i="1"/>
  <c r="P38" i="1"/>
  <c r="O38" i="1"/>
  <c r="P37" i="1"/>
  <c r="O37" i="1"/>
  <c r="P36" i="1"/>
  <c r="O36" i="1"/>
  <c r="P35" i="1"/>
  <c r="O35" i="1"/>
  <c r="P34" i="1"/>
  <c r="O34" i="1"/>
  <c r="P33" i="1"/>
  <c r="O33" i="1"/>
  <c r="P32" i="1"/>
  <c r="O32" i="1"/>
  <c r="P31" i="1"/>
  <c r="O31" i="1"/>
  <c r="P30" i="1"/>
  <c r="O30" i="1"/>
  <c r="P29" i="1"/>
  <c r="O29" i="1"/>
  <c r="P28" i="1"/>
  <c r="O28" i="1"/>
  <c r="P27" i="1"/>
  <c r="O27" i="1"/>
  <c r="P26" i="1"/>
  <c r="O26" i="1"/>
  <c r="P25" i="1"/>
  <c r="O25" i="1"/>
  <c r="P24" i="1"/>
  <c r="O24" i="1"/>
  <c r="P23" i="1"/>
  <c r="O23" i="1"/>
  <c r="P22" i="1"/>
  <c r="O22" i="1"/>
  <c r="P21" i="1"/>
  <c r="O21" i="1"/>
  <c r="P20" i="1"/>
  <c r="O20" i="1"/>
  <c r="P19" i="1"/>
  <c r="O19" i="1"/>
  <c r="P18" i="1"/>
  <c r="O18" i="1"/>
  <c r="P17" i="1"/>
  <c r="O17" i="1"/>
  <c r="P16" i="1"/>
  <c r="O16" i="1"/>
  <c r="P15" i="1"/>
  <c r="O15" i="1"/>
  <c r="P14" i="1"/>
  <c r="O14" i="1"/>
  <c r="P13" i="1"/>
  <c r="O13" i="1"/>
  <c r="P12" i="1"/>
  <c r="O12" i="1"/>
  <c r="P11" i="1"/>
  <c r="O11" i="1"/>
  <c r="P10" i="1"/>
  <c r="O10" i="1"/>
  <c r="P9" i="1"/>
  <c r="O9" i="1"/>
  <c r="P8" i="1"/>
  <c r="O8" i="1"/>
  <c r="P7" i="1"/>
  <c r="O7" i="1"/>
  <c r="Q41" i="1" l="1"/>
  <c r="R41" i="1" s="1"/>
  <c r="Q59" i="1"/>
  <c r="R59" i="1" s="1"/>
  <c r="Q65" i="1"/>
  <c r="R65" i="1" s="1"/>
  <c r="Q71" i="1"/>
  <c r="R71" i="1" s="1"/>
  <c r="Q77" i="1"/>
  <c r="R77" i="1" s="1"/>
  <c r="Q83" i="1"/>
  <c r="R83" i="1" s="1"/>
  <c r="Q89" i="1"/>
  <c r="R89" i="1" s="1"/>
  <c r="Q95" i="1"/>
  <c r="R95" i="1" s="1"/>
  <c r="Q101" i="1"/>
  <c r="R101" i="1" s="1"/>
  <c r="Q107" i="1"/>
  <c r="R107" i="1" s="1"/>
  <c r="Q108" i="1"/>
  <c r="R108" i="1" s="1"/>
  <c r="Q103" i="1"/>
  <c r="R103" i="1" s="1"/>
  <c r="Q38" i="1"/>
  <c r="R38" i="1" s="1"/>
  <c r="Q44" i="1"/>
  <c r="R44" i="1" s="1"/>
  <c r="Q50" i="1"/>
  <c r="Q56" i="1"/>
  <c r="R56" i="1" s="1"/>
  <c r="Q68" i="1"/>
  <c r="R68" i="1" s="1"/>
  <c r="Q86" i="1"/>
  <c r="R86" i="1" s="1"/>
  <c r="Q104" i="1"/>
  <c r="R104" i="1" s="1"/>
  <c r="Q47" i="1"/>
  <c r="R47" i="1" s="1"/>
  <c r="Q53" i="1"/>
  <c r="R53" i="1" s="1"/>
  <c r="Q62" i="1"/>
  <c r="R62" i="1" s="1"/>
  <c r="Q74" i="1"/>
  <c r="R74" i="1" s="1"/>
  <c r="Q80" i="1"/>
  <c r="R80" i="1" s="1"/>
  <c r="Q92" i="1"/>
  <c r="R92" i="1" s="1"/>
  <c r="Q98" i="1"/>
  <c r="R98" i="1" s="1"/>
  <c r="R50" i="1"/>
  <c r="Q39" i="1"/>
  <c r="R39" i="1" s="1"/>
  <c r="Q42" i="1"/>
  <c r="R42" i="1" s="1"/>
  <c r="Q45" i="1"/>
  <c r="R45" i="1" s="1"/>
  <c r="Q48" i="1"/>
  <c r="R48" i="1" s="1"/>
  <c r="Q51" i="1"/>
  <c r="R51" i="1" s="1"/>
  <c r="Q54" i="1"/>
  <c r="R54" i="1" s="1"/>
  <c r="Q57" i="1"/>
  <c r="R57" i="1" s="1"/>
  <c r="Q60" i="1"/>
  <c r="R60" i="1" s="1"/>
  <c r="Q63" i="1"/>
  <c r="R63" i="1" s="1"/>
  <c r="Q66" i="1"/>
  <c r="R66" i="1" s="1"/>
  <c r="Q69" i="1"/>
  <c r="R69" i="1" s="1"/>
  <c r="Q72" i="1"/>
  <c r="R72" i="1" s="1"/>
  <c r="Q75" i="1"/>
  <c r="R75" i="1" s="1"/>
  <c r="Q78" i="1"/>
  <c r="R78" i="1" s="1"/>
  <c r="Q81" i="1"/>
  <c r="R81" i="1" s="1"/>
  <c r="Q84" i="1"/>
  <c r="R84" i="1" s="1"/>
  <c r="Q87" i="1"/>
  <c r="R87" i="1" s="1"/>
  <c r="Q90" i="1"/>
  <c r="R90" i="1" s="1"/>
  <c r="Q93" i="1"/>
  <c r="R93" i="1" s="1"/>
  <c r="Q96" i="1"/>
  <c r="R96" i="1" s="1"/>
  <c r="Q99" i="1"/>
  <c r="R99" i="1" s="1"/>
  <c r="Q102" i="1"/>
  <c r="R102" i="1" s="1"/>
  <c r="Q105" i="1"/>
  <c r="R105" i="1" s="1"/>
  <c r="Q37" i="1"/>
  <c r="R37" i="1" s="1"/>
  <c r="Q40" i="1"/>
  <c r="R40" i="1" s="1"/>
  <c r="Q43" i="1"/>
  <c r="R43" i="1" s="1"/>
  <c r="Q46" i="1"/>
  <c r="R46" i="1" s="1"/>
  <c r="Q49" i="1"/>
  <c r="R49" i="1" s="1"/>
  <c r="Q52" i="1"/>
  <c r="R52" i="1" s="1"/>
  <c r="Q55" i="1"/>
  <c r="R55" i="1" s="1"/>
  <c r="Q58" i="1"/>
  <c r="R58" i="1" s="1"/>
  <c r="Q61" i="1"/>
  <c r="R61" i="1" s="1"/>
  <c r="Q64" i="1"/>
  <c r="R64" i="1" s="1"/>
  <c r="Q67" i="1"/>
  <c r="R67" i="1" s="1"/>
  <c r="Q70" i="1"/>
  <c r="R70" i="1" s="1"/>
  <c r="Q73" i="1"/>
  <c r="R73" i="1" s="1"/>
  <c r="Q76" i="1"/>
  <c r="R76" i="1" s="1"/>
  <c r="Q79" i="1"/>
  <c r="R79" i="1" s="1"/>
  <c r="Q82" i="1"/>
  <c r="R82" i="1" s="1"/>
  <c r="Q85" i="1"/>
  <c r="R85" i="1" s="1"/>
  <c r="Q88" i="1"/>
  <c r="R88" i="1" s="1"/>
  <c r="Q91" i="1"/>
  <c r="R91" i="1" s="1"/>
  <c r="Q94" i="1"/>
  <c r="R94" i="1" s="1"/>
  <c r="Q97" i="1"/>
  <c r="R97" i="1" s="1"/>
  <c r="Q100" i="1"/>
  <c r="R100" i="1" s="1"/>
  <c r="Q106" i="1"/>
  <c r="R106" i="1" s="1"/>
  <c r="Q9" i="1"/>
  <c r="R9" i="1" s="1"/>
  <c r="Q12" i="1"/>
  <c r="R12" i="1" s="1"/>
  <c r="Q15" i="1"/>
  <c r="R15" i="1" s="1"/>
  <c r="Q18" i="1"/>
  <c r="R18" i="1" s="1"/>
  <c r="Q21" i="1"/>
  <c r="R21" i="1" s="1"/>
  <c r="Q24" i="1"/>
  <c r="R24" i="1" s="1"/>
  <c r="Q27" i="1"/>
  <c r="R27" i="1" s="1"/>
  <c r="Q30" i="1"/>
  <c r="R30" i="1" s="1"/>
  <c r="Q32" i="1"/>
  <c r="R32" i="1" s="1"/>
  <c r="Q35" i="1"/>
  <c r="R35" i="1" s="1"/>
  <c r="Q10" i="1"/>
  <c r="R10" i="1" s="1"/>
  <c r="Q13" i="1"/>
  <c r="R13" i="1" s="1"/>
  <c r="Q16" i="1"/>
  <c r="R16" i="1" s="1"/>
  <c r="Q19" i="1"/>
  <c r="R19" i="1" s="1"/>
  <c r="Q22" i="1"/>
  <c r="R22" i="1" s="1"/>
  <c r="Q25" i="1"/>
  <c r="R25" i="1" s="1"/>
  <c r="Q28" i="1"/>
  <c r="R28" i="1" s="1"/>
  <c r="Q33" i="1"/>
  <c r="R33" i="1" s="1"/>
  <c r="Q36" i="1"/>
  <c r="R36" i="1" s="1"/>
  <c r="Q8" i="1"/>
  <c r="R8" i="1" s="1"/>
  <c r="Q11" i="1"/>
  <c r="R11" i="1" s="1"/>
  <c r="Q14" i="1"/>
  <c r="R14" i="1" s="1"/>
  <c r="Q17" i="1"/>
  <c r="R17" i="1" s="1"/>
  <c r="Q20" i="1"/>
  <c r="R20" i="1" s="1"/>
  <c r="Q23" i="1"/>
  <c r="R23" i="1" s="1"/>
  <c r="Q26" i="1"/>
  <c r="R26" i="1" s="1"/>
  <c r="Q29" i="1"/>
  <c r="R29" i="1" s="1"/>
  <c r="Q31" i="1"/>
  <c r="R31" i="1" s="1"/>
  <c r="Q34" i="1"/>
  <c r="R34" i="1" s="1"/>
  <c r="Q7" i="1"/>
  <c r="R7" i="1" s="1"/>
  <c r="M44" i="2" l="1"/>
  <c r="AH9" i="2"/>
  <c r="I39" i="2"/>
  <c r="AL26" i="2"/>
  <c r="F30" i="2"/>
  <c r="Z8" i="2"/>
  <c r="D14" i="2"/>
  <c r="R8" i="2"/>
  <c r="AQ11" i="2"/>
  <c r="M9" i="2"/>
  <c r="Y14" i="2"/>
  <c r="AE12" i="2"/>
  <c r="S15" i="2"/>
  <c r="G16" i="2"/>
  <c r="AA8" i="2"/>
  <c r="AA27" i="2"/>
  <c r="U11" i="2"/>
  <c r="U12" i="2"/>
  <c r="AA12" i="2"/>
  <c r="AM19" i="2"/>
  <c r="AC8" i="2"/>
  <c r="P42" i="2"/>
  <c r="K11" i="2"/>
  <c r="AC36" i="2"/>
  <c r="E12" i="2"/>
  <c r="AA26" i="2"/>
  <c r="T22" i="2"/>
  <c r="T18" i="2"/>
  <c r="T14" i="2"/>
  <c r="T10" i="2"/>
  <c r="AH21" i="2"/>
  <c r="Z26" i="2"/>
  <c r="AE22" i="2"/>
  <c r="M19" i="2"/>
  <c r="AK15" i="2"/>
  <c r="S12" i="2"/>
  <c r="AQ8" i="2"/>
  <c r="O36" i="2"/>
  <c r="U25" i="2"/>
  <c r="AJ21" i="2"/>
  <c r="R18" i="2"/>
  <c r="AP14" i="2"/>
  <c r="X11" i="2"/>
  <c r="F8" i="2"/>
  <c r="AG37" i="2"/>
  <c r="AH25" i="2"/>
  <c r="E22" i="2"/>
  <c r="AC18" i="2"/>
  <c r="K15" i="2"/>
  <c r="AI11" i="2"/>
  <c r="Q8" i="2"/>
  <c r="U31" i="2"/>
  <c r="D24" i="2"/>
  <c r="O20" i="2"/>
  <c r="O16" i="2"/>
  <c r="O12" i="2"/>
  <c r="O8" i="2"/>
  <c r="I40" i="2"/>
  <c r="R26" i="2"/>
  <c r="AQ21" i="2"/>
  <c r="Y18" i="2"/>
  <c r="G15" i="2"/>
  <c r="AE11" i="2"/>
  <c r="M8" i="2"/>
  <c r="D20" i="2"/>
  <c r="P14" i="2"/>
  <c r="AN12" i="2"/>
  <c r="AL12" i="2"/>
  <c r="P8" i="2"/>
  <c r="AN20" i="2"/>
  <c r="AL22" i="2"/>
  <c r="AH17" i="2"/>
  <c r="AL14" i="2"/>
  <c r="AK25" i="2"/>
  <c r="AL21" i="2"/>
  <c r="AL17" i="2"/>
  <c r="AL13" i="2"/>
  <c r="AL9" i="2"/>
  <c r="U42" i="2"/>
  <c r="AJ25" i="2"/>
  <c r="G22" i="2"/>
  <c r="AE18" i="2"/>
  <c r="AK11" i="2"/>
  <c r="S8" i="2"/>
  <c r="AJ24" i="2"/>
  <c r="V16" i="2"/>
  <c r="V26" i="2"/>
  <c r="AM24" i="2"/>
  <c r="O19" i="2"/>
  <c r="AM11" i="2"/>
  <c r="AA45" i="2"/>
  <c r="L26" i="2"/>
  <c r="H22" i="2"/>
  <c r="H18" i="2"/>
  <c r="H14" i="2"/>
  <c r="H10" i="2"/>
  <c r="U45" i="2"/>
  <c r="J26" i="2"/>
  <c r="S22" i="2"/>
  <c r="AQ18" i="2"/>
  <c r="Y15" i="2"/>
  <c r="G12" i="2"/>
  <c r="AE8" i="2"/>
  <c r="AM34" i="2"/>
  <c r="G25" i="2"/>
  <c r="X21" i="2"/>
  <c r="F18" i="2"/>
  <c r="AD14" i="2"/>
  <c r="L11" i="2"/>
  <c r="AA37" i="2"/>
  <c r="I36" i="2"/>
  <c r="T25" i="2"/>
  <c r="AI21" i="2"/>
  <c r="Q18" i="2"/>
  <c r="AO14" i="2"/>
  <c r="W11" i="2"/>
  <c r="E8" i="2"/>
  <c r="AM28" i="2"/>
  <c r="AG23" i="2"/>
  <c r="AG19" i="2"/>
  <c r="AG15" i="2"/>
  <c r="AG11" i="2"/>
  <c r="O46" i="2"/>
  <c r="AG38" i="2"/>
  <c r="AD25" i="2"/>
  <c r="AE21" i="2"/>
  <c r="M18" i="2"/>
  <c r="AK14" i="2"/>
  <c r="S11" i="2"/>
  <c r="AM35" i="2"/>
  <c r="AL18" i="2"/>
  <c r="V11" i="2"/>
  <c r="T11" i="2"/>
  <c r="J11" i="2"/>
  <c r="AB10" i="2"/>
  <c r="T19" i="2"/>
  <c r="AL20" i="2"/>
  <c r="P16" i="2"/>
  <c r="J13" i="2"/>
  <c r="AA42" i="2"/>
  <c r="M15" i="2"/>
  <c r="O33" i="2"/>
  <c r="L21" i="2"/>
  <c r="AA11" i="2"/>
  <c r="K40" i="2"/>
  <c r="W26" i="2"/>
  <c r="D37" i="2"/>
  <c r="Z41" i="2"/>
  <c r="Z25" i="2"/>
  <c r="M35" i="2"/>
  <c r="F40" i="2"/>
  <c r="AC46" i="2"/>
  <c r="AO32" i="2"/>
  <c r="AB38" i="2"/>
  <c r="H47" i="2"/>
  <c r="H31" i="2"/>
  <c r="X18" i="2"/>
  <c r="T27" i="2"/>
  <c r="E13" i="2"/>
  <c r="AB23" i="2"/>
  <c r="V14" i="2"/>
  <c r="AG45" i="2"/>
  <c r="J24" i="2"/>
  <c r="AG16" i="2"/>
  <c r="O11" i="2"/>
  <c r="AA39" i="2"/>
  <c r="W25" i="2"/>
  <c r="Z21" i="2"/>
  <c r="Z17" i="2"/>
  <c r="Z13" i="2"/>
  <c r="Z9" i="2"/>
  <c r="U39" i="2"/>
  <c r="V25" i="2"/>
  <c r="AK21" i="2"/>
  <c r="S18" i="2"/>
  <c r="AQ14" i="2"/>
  <c r="Y11" i="2"/>
  <c r="G8" i="2"/>
  <c r="AM31" i="2"/>
  <c r="U24" i="2"/>
  <c r="AP20" i="2"/>
  <c r="X17" i="2"/>
  <c r="F14" i="2"/>
  <c r="AD10" i="2"/>
  <c r="D25" i="2"/>
  <c r="I33" i="2"/>
  <c r="AH24" i="2"/>
  <c r="K21" i="2"/>
  <c r="AI17" i="2"/>
  <c r="Q14" i="2"/>
  <c r="AO10" i="2"/>
  <c r="AA31" i="2"/>
  <c r="Y27" i="2"/>
  <c r="I23" i="2"/>
  <c r="I19" i="2"/>
  <c r="I15" i="2"/>
  <c r="I11" i="2"/>
  <c r="O43" i="2"/>
  <c r="AG35" i="2"/>
  <c r="AQ24" i="2"/>
  <c r="G21" i="2"/>
  <c r="AE17" i="2"/>
  <c r="M14" i="2"/>
  <c r="AK10" i="2"/>
  <c r="P24" i="2"/>
  <c r="Z14" i="2"/>
  <c r="AL8" i="2"/>
  <c r="N16" i="2"/>
  <c r="H9" i="2"/>
  <c r="D18" i="2"/>
  <c r="H15" i="2"/>
  <c r="Z16" i="2"/>
  <c r="D12" i="2"/>
  <c r="N10" i="2"/>
  <c r="N21" i="2"/>
  <c r="N17" i="2"/>
  <c r="N13" i="2"/>
  <c r="N9" i="2"/>
  <c r="U36" i="2"/>
  <c r="H25" i="2"/>
  <c r="Y21" i="2"/>
  <c r="G18" i="2"/>
  <c r="AE14" i="2"/>
  <c r="M11" i="2"/>
  <c r="I28" i="2"/>
  <c r="O30" i="2"/>
  <c r="G24" i="2"/>
  <c r="AD20" i="2"/>
  <c r="L17" i="2"/>
  <c r="AJ13" i="2"/>
  <c r="R10" i="2"/>
  <c r="V23" i="2"/>
  <c r="AG31" i="2"/>
  <c r="S24" i="2"/>
  <c r="AO20" i="2"/>
  <c r="W17" i="2"/>
  <c r="E14" i="2"/>
  <c r="AC10" i="2"/>
  <c r="AG25" i="2"/>
  <c r="I27" i="2"/>
  <c r="AM22" i="2"/>
  <c r="AM18" i="2"/>
  <c r="AM14" i="2"/>
  <c r="AM10" i="2"/>
  <c r="AM41" i="2"/>
  <c r="I34" i="2"/>
  <c r="AC24" i="2"/>
  <c r="AK20" i="2"/>
  <c r="S17" i="2"/>
  <c r="AQ13" i="2"/>
  <c r="Y10" i="2"/>
  <c r="N20" i="2"/>
  <c r="AF11" i="2"/>
  <c r="N22" i="2"/>
  <c r="AM29" i="2"/>
  <c r="H23" i="2"/>
  <c r="AL16" i="2"/>
  <c r="AH13" i="2"/>
  <c r="AF13" i="2"/>
  <c r="AL10" i="2"/>
  <c r="AN18" i="2"/>
  <c r="O34" i="2"/>
  <c r="S26" i="2"/>
  <c r="AF19" i="2"/>
  <c r="J15" i="2"/>
  <c r="P12" i="2"/>
  <c r="N12" i="2"/>
  <c r="J9" i="2"/>
  <c r="AM9" i="2"/>
  <c r="AA33" i="2"/>
  <c r="AL24" i="2"/>
  <c r="AF20" i="2"/>
  <c r="AF16" i="2"/>
  <c r="AF12" i="2"/>
  <c r="AF8" i="2"/>
  <c r="U33" i="2"/>
  <c r="AK24" i="2"/>
  <c r="M21" i="2"/>
  <c r="AK17" i="2"/>
  <c r="S14" i="2"/>
  <c r="AQ10" i="2"/>
  <c r="AM46" i="2"/>
  <c r="O28" i="2"/>
  <c r="AJ23" i="2"/>
  <c r="R20" i="2"/>
  <c r="AP16" i="2"/>
  <c r="X13" i="2"/>
  <c r="F10" i="2"/>
  <c r="V21" i="2"/>
  <c r="I30" i="2"/>
  <c r="F24" i="2"/>
  <c r="AC20" i="2"/>
  <c r="K17" i="2"/>
  <c r="AI13" i="2"/>
  <c r="Q10" i="2"/>
  <c r="R24" i="2"/>
  <c r="AK26" i="2"/>
  <c r="AA22" i="2"/>
  <c r="AA18" i="2"/>
  <c r="AA14" i="2"/>
  <c r="AA10" i="2"/>
  <c r="O40" i="2"/>
  <c r="AG32" i="2"/>
  <c r="O24" i="2"/>
  <c r="Y20" i="2"/>
  <c r="G17" i="2"/>
  <c r="AE13" i="2"/>
  <c r="M10" i="2"/>
  <c r="AA30" i="2"/>
  <c r="X24" i="2"/>
  <c r="T20" i="2"/>
  <c r="T16" i="2"/>
  <c r="T12" i="2"/>
  <c r="T8" i="2"/>
  <c r="U30" i="2"/>
  <c r="V24" i="2"/>
  <c r="AQ20" i="2"/>
  <c r="Y17" i="2"/>
  <c r="G14" i="2"/>
  <c r="AE10" i="2"/>
  <c r="O45" i="2"/>
  <c r="AE27" i="2"/>
  <c r="X23" i="2"/>
  <c r="F20" i="2"/>
  <c r="AD16" i="2"/>
  <c r="L13" i="2"/>
  <c r="AJ9" i="2"/>
  <c r="AG46" i="2"/>
  <c r="J28" i="2"/>
  <c r="AI23" i="2"/>
  <c r="Q20" i="2"/>
  <c r="AO16" i="2"/>
  <c r="W13" i="2"/>
  <c r="E10" i="2"/>
  <c r="J23" i="2"/>
  <c r="U26" i="2"/>
  <c r="O22" i="2"/>
  <c r="O18" i="2"/>
  <c r="O14" i="2"/>
  <c r="O10" i="2"/>
  <c r="AM38" i="2"/>
  <c r="I31" i="2"/>
  <c r="AE23" i="2"/>
  <c r="M20" i="2"/>
  <c r="AK16" i="2"/>
  <c r="S13" i="2"/>
  <c r="AQ9" i="2"/>
  <c r="T17" i="2"/>
  <c r="AN8" i="2"/>
  <c r="AJ26" i="2"/>
  <c r="T23" i="2"/>
  <c r="N18" i="2"/>
  <c r="Z12" i="2"/>
  <c r="V9" i="2"/>
  <c r="AN10" i="2"/>
  <c r="O31" i="2"/>
  <c r="J20" i="2"/>
  <c r="AN11" i="2"/>
  <c r="I32" i="2"/>
  <c r="AM21" i="2"/>
  <c r="AA15" i="2"/>
  <c r="O9" i="2"/>
  <c r="I29" i="2"/>
  <c r="I24" i="2"/>
  <c r="H20" i="2"/>
  <c r="H16" i="2"/>
  <c r="H12" i="2"/>
  <c r="H8" i="2"/>
  <c r="D29" i="2"/>
  <c r="H24" i="2"/>
  <c r="AE20" i="2"/>
  <c r="M17" i="2"/>
  <c r="AK13" i="2"/>
  <c r="S10" i="2"/>
  <c r="AM43" i="2"/>
  <c r="M27" i="2"/>
  <c r="L23" i="2"/>
  <c r="AJ19" i="2"/>
  <c r="R16" i="2"/>
  <c r="AP12" i="2"/>
  <c r="X9" i="2"/>
  <c r="I45" i="2"/>
  <c r="AB27" i="2"/>
  <c r="W23" i="2"/>
  <c r="E20" i="2"/>
  <c r="AC16" i="2"/>
  <c r="K13" i="2"/>
  <c r="AI9" i="2"/>
  <c r="U46" i="2"/>
  <c r="E26" i="2"/>
  <c r="AG21" i="2"/>
  <c r="AG17" i="2"/>
  <c r="AG13" i="2"/>
  <c r="AG9" i="2"/>
  <c r="O37" i="2"/>
  <c r="AG29" i="2"/>
  <c r="S23" i="2"/>
  <c r="AQ19" i="2"/>
  <c r="Y16" i="2"/>
  <c r="G13" i="2"/>
  <c r="AE9" i="2"/>
  <c r="AB14" i="2"/>
  <c r="AN14" i="2"/>
  <c r="AF23" i="2"/>
  <c r="H21" i="2"/>
  <c r="AN16" i="2"/>
  <c r="AF9" i="2"/>
  <c r="D8" i="2"/>
  <c r="T9" i="2"/>
  <c r="X27" i="2"/>
  <c r="D32" i="2"/>
  <c r="T39" i="2"/>
  <c r="AQ25" i="2"/>
  <c r="AP11" i="2"/>
  <c r="K20" i="2"/>
  <c r="AM45" i="2"/>
  <c r="AN19" i="2"/>
  <c r="D11" i="2"/>
  <c r="AG30" i="2"/>
  <c r="AG20" i="2"/>
  <c r="O15" i="2"/>
  <c r="AG8" i="2"/>
  <c r="S28" i="2"/>
  <c r="AL23" i="2"/>
  <c r="AL19" i="2"/>
  <c r="AL15" i="2"/>
  <c r="AL11" i="2"/>
  <c r="AA46" i="2"/>
  <c r="Q28" i="2"/>
  <c r="AK23" i="2"/>
  <c r="S20" i="2"/>
  <c r="AQ16" i="2"/>
  <c r="Y13" i="2"/>
  <c r="G10" i="2"/>
  <c r="O42" i="2"/>
  <c r="AO26" i="2"/>
  <c r="AP22" i="2"/>
  <c r="X19" i="2"/>
  <c r="F16" i="2"/>
  <c r="AD12" i="2"/>
  <c r="L9" i="2"/>
  <c r="AG43" i="2"/>
  <c r="L27" i="2"/>
  <c r="K23" i="2"/>
  <c r="AI19" i="2"/>
  <c r="Q16" i="2"/>
  <c r="AO12" i="2"/>
  <c r="W9" i="2"/>
  <c r="U43" i="2"/>
  <c r="AF25" i="2"/>
  <c r="U21" i="2"/>
  <c r="U17" i="2"/>
  <c r="U13" i="2"/>
  <c r="U9" i="2"/>
  <c r="I46" i="2"/>
  <c r="AG28" i="2"/>
  <c r="G23" i="2"/>
  <c r="AE19" i="2"/>
  <c r="M16" i="2"/>
  <c r="AK12" i="2"/>
  <c r="S9" i="2"/>
  <c r="H13" i="2"/>
  <c r="T21" i="2"/>
  <c r="J21" i="2"/>
  <c r="AH19" i="2"/>
  <c r="T15" i="2"/>
  <c r="N8" i="2"/>
  <c r="Z20" i="2"/>
  <c r="AF17" i="2"/>
  <c r="AD24" i="2"/>
  <c r="AE33" i="2"/>
  <c r="L40" i="2"/>
  <c r="E47" i="2"/>
  <c r="Q33" i="2"/>
  <c r="AN43" i="2"/>
  <c r="J30" i="2"/>
  <c r="Z33" i="2"/>
  <c r="G42" i="2"/>
  <c r="AP46" i="2"/>
  <c r="L33" i="2"/>
  <c r="AI39" i="2"/>
  <c r="V45" i="2"/>
  <c r="AH31" i="2"/>
  <c r="H39" i="2"/>
  <c r="AB25" i="2"/>
  <c r="AD11" i="2"/>
  <c r="AO19" i="2"/>
  <c r="O44" i="2"/>
  <c r="AH18" i="2"/>
  <c r="V10" i="2"/>
  <c r="M29" i="2"/>
  <c r="U20" i="2"/>
  <c r="AM13" i="2"/>
  <c r="U8" i="2"/>
  <c r="AI27" i="2"/>
  <c r="Z23" i="2"/>
  <c r="Z19" i="2"/>
  <c r="Z15" i="2"/>
  <c r="Z11" i="2"/>
  <c r="AQ28" i="2"/>
  <c r="AG27" i="2"/>
  <c r="Y23" i="2"/>
  <c r="G20" i="2"/>
  <c r="AE16" i="2"/>
  <c r="M13" i="2"/>
  <c r="AK9" i="2"/>
  <c r="AM40" i="2"/>
  <c r="Y26" i="2"/>
  <c r="AD22" i="2"/>
  <c r="L19" i="2"/>
  <c r="AJ15" i="2"/>
  <c r="R12" i="2"/>
  <c r="AP8" i="2"/>
  <c r="I42" i="2"/>
  <c r="AM26" i="2"/>
  <c r="AO22" i="2"/>
  <c r="W19" i="2"/>
  <c r="E16" i="2"/>
  <c r="AC12" i="2"/>
  <c r="K9" i="2"/>
  <c r="U40" i="2"/>
  <c r="R25" i="2"/>
  <c r="I21" i="2"/>
  <c r="I17" i="2"/>
  <c r="I13" i="2"/>
  <c r="I9" i="2"/>
  <c r="AG44" i="2"/>
  <c r="W27" i="2"/>
  <c r="AK22" i="2"/>
  <c r="S19" i="2"/>
  <c r="AQ15" i="2"/>
  <c r="Y12" i="2"/>
  <c r="G9" i="2"/>
  <c r="AH11" i="2"/>
  <c r="AB18" i="2"/>
  <c r="Z18" i="2"/>
  <c r="P18" i="2"/>
  <c r="AB12" i="2"/>
  <c r="T13" i="2"/>
  <c r="AM32" i="2"/>
  <c r="Z22" i="2"/>
  <c r="P20" i="2"/>
  <c r="Y32" i="2"/>
  <c r="F39" i="2"/>
  <c r="AO45" i="2"/>
  <c r="K32" i="2"/>
  <c r="AH42" i="2"/>
  <c r="AM47" i="2"/>
  <c r="H32" i="2"/>
  <c r="AQ40" i="2"/>
  <c r="AJ45" i="2"/>
  <c r="F32" i="2"/>
  <c r="AC38" i="2"/>
  <c r="P44" i="2"/>
  <c r="AB30" i="2"/>
  <c r="AF37" i="2"/>
  <c r="N24" i="2"/>
  <c r="X10" i="2"/>
  <c r="AI18" i="2"/>
  <c r="O38" i="2"/>
  <c r="AN17" i="2"/>
  <c r="AN9" i="2"/>
  <c r="U28" i="2"/>
  <c r="I20" i="2"/>
  <c r="AG12" i="2"/>
  <c r="I8" i="2"/>
  <c r="P27" i="2"/>
  <c r="N23" i="2"/>
  <c r="N19" i="2"/>
  <c r="N15" i="2"/>
  <c r="N11" i="2"/>
  <c r="S25" i="2"/>
  <c r="O27" i="2"/>
  <c r="M23" i="2"/>
  <c r="AK19" i="2"/>
  <c r="S16" i="2"/>
  <c r="AQ12" i="2"/>
  <c r="Y9" i="2"/>
  <c r="O39" i="2"/>
  <c r="I26" i="2"/>
  <c r="R22" i="2"/>
  <c r="AP18" i="2"/>
  <c r="X15" i="2"/>
  <c r="F12" i="2"/>
  <c r="AD8" i="2"/>
  <c r="AG40" i="2"/>
  <c r="X26" i="2"/>
  <c r="AC22" i="2"/>
  <c r="K19" i="2"/>
  <c r="AI15" i="2"/>
  <c r="Q12" i="2"/>
  <c r="AO8" i="2"/>
  <c r="U37" i="2"/>
  <c r="AE24" i="2"/>
  <c r="AM20" i="2"/>
  <c r="AM16" i="2"/>
  <c r="AM12" i="2"/>
  <c r="AM8" i="2"/>
  <c r="I43" i="2"/>
  <c r="G27" i="2"/>
  <c r="Y22" i="2"/>
  <c r="G19" i="2"/>
  <c r="AE15" i="2"/>
  <c r="M12" i="2"/>
  <c r="AK8" i="2"/>
  <c r="P10" i="2"/>
  <c r="H17" i="2"/>
  <c r="AF15" i="2"/>
  <c r="V15" i="2"/>
  <c r="H11" i="2"/>
  <c r="AH28" i="2"/>
  <c r="E28" i="2"/>
  <c r="AB20" i="2"/>
  <c r="V17" i="2"/>
  <c r="AO29" i="2"/>
  <c r="Z10" i="2"/>
  <c r="AB8" i="2"/>
  <c r="AQ17" i="2"/>
  <c r="U15" i="2"/>
  <c r="AC14" i="2"/>
  <c r="AP10" i="2"/>
  <c r="Y19" i="2"/>
  <c r="AK27" i="2"/>
  <c r="AJ43" i="2"/>
  <c r="D16" i="2"/>
  <c r="N14" i="2"/>
  <c r="AK18" i="2"/>
  <c r="AA16" i="2"/>
  <c r="W15" i="2"/>
  <c r="AJ11" i="2"/>
  <c r="AQ22" i="2"/>
  <c r="AB9" i="2"/>
  <c r="AQ38" i="2"/>
  <c r="V13" i="2"/>
  <c r="D10" i="2"/>
  <c r="S21" i="2"/>
  <c r="U19" i="2"/>
  <c r="E18" i="2"/>
  <c r="R14" i="2"/>
  <c r="AP26" i="2"/>
  <c r="P17" i="2"/>
  <c r="AL29" i="2"/>
  <c r="H19" i="2"/>
  <c r="AH15" i="2"/>
  <c r="M22" i="2"/>
  <c r="AA20" i="2"/>
  <c r="AO18" i="2"/>
  <c r="L15" i="2"/>
  <c r="AH23" i="2"/>
  <c r="V28" i="2"/>
  <c r="AL45" i="2"/>
  <c r="AD43" i="2"/>
  <c r="J19" i="2"/>
  <c r="J17" i="2"/>
  <c r="O25" i="2"/>
  <c r="U23" i="2"/>
  <c r="W21" i="2"/>
  <c r="AJ17" i="2"/>
  <c r="AF10" i="2"/>
  <c r="AI16" i="2"/>
  <c r="AH40" i="2"/>
  <c r="AC43" i="2"/>
  <c r="AJ36" i="2"/>
  <c r="P25" i="2"/>
  <c r="AF21" i="2"/>
  <c r="AH26" i="2"/>
  <c r="Q24" i="2"/>
  <c r="Q22" i="2"/>
  <c r="AD18" i="2"/>
  <c r="AF14" i="2"/>
  <c r="X8" i="2"/>
  <c r="K30" i="2"/>
  <c r="AB16" i="2"/>
  <c r="H27" i="2"/>
  <c r="I37" i="2"/>
  <c r="G28" i="2"/>
  <c r="F25" i="2"/>
  <c r="F22" i="2"/>
  <c r="AF18" i="2"/>
  <c r="L22" i="2"/>
  <c r="AO43" i="2"/>
  <c r="AE25" i="2"/>
  <c r="Y8" i="2"/>
  <c r="AG41" i="2"/>
  <c r="U34" i="2"/>
  <c r="G26" i="2"/>
  <c r="AI25" i="2"/>
  <c r="AF22" i="2"/>
  <c r="T35" i="2"/>
  <c r="F37" i="2"/>
  <c r="V19" i="2"/>
  <c r="G11" i="2"/>
  <c r="AM44" i="2"/>
  <c r="AA40" i="2"/>
  <c r="AG34" i="2"/>
  <c r="AM37" i="2"/>
  <c r="AQ26" i="2"/>
  <c r="AB28" i="2"/>
  <c r="Y30" i="2"/>
  <c r="AH45" i="2"/>
  <c r="E40" i="2"/>
  <c r="X33" i="2"/>
  <c r="L47" i="2"/>
  <c r="S42" i="2"/>
  <c r="AL33" i="2"/>
  <c r="V30" i="2"/>
  <c r="J44" i="2"/>
  <c r="AC33" i="2"/>
  <c r="Q47" i="2"/>
  <c r="X40" i="2"/>
  <c r="AQ33" i="2"/>
  <c r="W8" i="2"/>
  <c r="K22" i="2"/>
  <c r="AP13" i="2"/>
  <c r="AA32" i="2"/>
  <c r="AF41" i="2"/>
  <c r="D34" i="2"/>
  <c r="AH47" i="2"/>
  <c r="E42" i="2"/>
  <c r="X35" i="2"/>
  <c r="AE30" i="2"/>
  <c r="S44" i="2"/>
  <c r="H36" i="2"/>
  <c r="V32" i="2"/>
  <c r="J46" i="2"/>
  <c r="AC35" i="2"/>
  <c r="AJ28" i="2"/>
  <c r="X42" i="2"/>
  <c r="AQ35" i="2"/>
  <c r="AA9" i="2"/>
  <c r="AM15" i="2"/>
  <c r="O23" i="2"/>
  <c r="AG33" i="2"/>
  <c r="D13" i="2"/>
  <c r="P21" i="2"/>
  <c r="AC9" i="2"/>
  <c r="Q23" i="2"/>
  <c r="F15" i="2"/>
  <c r="AA44" i="2"/>
  <c r="H43" i="2"/>
  <c r="J35" i="2"/>
  <c r="W29" i="2"/>
  <c r="K43" i="2"/>
  <c r="AD36" i="2"/>
  <c r="AK31" i="2"/>
  <c r="Y45" i="2"/>
  <c r="Z37" i="2"/>
  <c r="AB33" i="2"/>
  <c r="P47" i="2"/>
  <c r="AI36" i="2"/>
  <c r="AP29" i="2"/>
  <c r="G37" i="2"/>
  <c r="I16" i="2"/>
  <c r="AA23" i="2"/>
  <c r="I38" i="2"/>
  <c r="P13" i="2"/>
  <c r="J22" i="2"/>
  <c r="AO9" i="2"/>
  <c r="AC23" i="2"/>
  <c r="R15" i="2"/>
  <c r="AA47" i="2"/>
  <c r="T43" i="2"/>
  <c r="V35" i="2"/>
  <c r="AI29" i="2"/>
  <c r="W43" i="2"/>
  <c r="AP36" i="2"/>
  <c r="G32" i="2"/>
  <c r="AK45" i="2"/>
  <c r="AL37" i="2"/>
  <c r="AN33" i="2"/>
  <c r="AB47" i="2"/>
  <c r="E37" i="2"/>
  <c r="L30" i="2"/>
  <c r="AP43" i="2"/>
  <c r="S37" i="2"/>
  <c r="I25" i="2"/>
  <c r="AA36" i="2"/>
  <c r="AG10" i="2"/>
  <c r="U16" i="2"/>
  <c r="AM23" i="2"/>
  <c r="I44" i="2"/>
  <c r="AN13" i="2"/>
  <c r="P23" i="2"/>
  <c r="AO11" i="2"/>
  <c r="AP25" i="2"/>
  <c r="R17" i="2"/>
  <c r="AF29" i="2"/>
  <c r="AF45" i="2"/>
  <c r="V37" i="2"/>
  <c r="AI31" i="2"/>
  <c r="W45" i="2"/>
  <c r="AP38" i="2"/>
  <c r="G34" i="2"/>
  <c r="AK47" i="2"/>
  <c r="H40" i="2"/>
  <c r="AN35" i="2"/>
  <c r="Q25" i="2"/>
  <c r="E39" i="2"/>
  <c r="L32" i="2"/>
  <c r="AP45" i="2"/>
  <c r="S39" i="2"/>
  <c r="AE43" i="2"/>
  <c r="M40" i="2"/>
  <c r="AK36" i="2"/>
  <c r="S33" i="2"/>
  <c r="AQ29" i="2"/>
  <c r="AJ46" i="2"/>
  <c r="R43" i="2"/>
  <c r="AP39" i="2"/>
  <c r="X36" i="2"/>
  <c r="F33" i="2"/>
  <c r="AD29" i="2"/>
  <c r="AI46" i="2"/>
  <c r="Q43" i="2"/>
  <c r="AO39" i="2"/>
  <c r="W36" i="2"/>
  <c r="E33" i="2"/>
  <c r="AC29" i="2"/>
  <c r="K26" i="2"/>
  <c r="D47" i="2"/>
  <c r="AB43" i="2"/>
  <c r="J40" i="2"/>
  <c r="AH36" i="2"/>
  <c r="P33" i="2"/>
  <c r="AN29" i="2"/>
  <c r="N45" i="2"/>
  <c r="N41" i="2"/>
  <c r="N37" i="2"/>
  <c r="N33" i="2"/>
  <c r="N29" i="2"/>
  <c r="N25" i="2"/>
  <c r="M45" i="2"/>
  <c r="AK41" i="2"/>
  <c r="S38" i="2"/>
  <c r="AQ34" i="2"/>
  <c r="Y31" i="2"/>
  <c r="AD46" i="2"/>
  <c r="L43" i="2"/>
  <c r="AJ39" i="2"/>
  <c r="R36" i="2"/>
  <c r="AP32" i="2"/>
  <c r="X29" i="2"/>
  <c r="Q46" i="2"/>
  <c r="AO42" i="2"/>
  <c r="W39" i="2"/>
  <c r="E36" i="2"/>
  <c r="AC32" i="2"/>
  <c r="K29" i="2"/>
  <c r="J45" i="2"/>
  <c r="AH41" i="2"/>
  <c r="P38" i="2"/>
  <c r="AN34" i="2"/>
  <c r="V31" i="2"/>
  <c r="D28" i="2"/>
  <c r="AL46" i="2"/>
  <c r="AL42" i="2"/>
  <c r="AL38" i="2"/>
  <c r="AL34" i="2"/>
  <c r="AL30" i="2"/>
  <c r="AA41" i="2"/>
  <c r="M25" i="2"/>
  <c r="AD21" i="2"/>
  <c r="L18" i="2"/>
  <c r="AJ14" i="2"/>
  <c r="R11" i="2"/>
  <c r="K27" i="2"/>
  <c r="D27" i="2"/>
  <c r="E23" i="2"/>
  <c r="AC19" i="2"/>
  <c r="K16" i="2"/>
  <c r="AI12" i="2"/>
  <c r="Q9" i="2"/>
  <c r="AM42" i="2"/>
  <c r="S27" i="2"/>
  <c r="D23" i="2"/>
  <c r="AB19" i="2"/>
  <c r="J16" i="2"/>
  <c r="AH12" i="2"/>
  <c r="P9" i="2"/>
  <c r="AG42" i="2"/>
  <c r="R27" i="2"/>
  <c r="AG22" i="2"/>
  <c r="AG18" i="2"/>
  <c r="AG14" i="2"/>
  <c r="S43" i="2"/>
  <c r="AQ39" i="2"/>
  <c r="Y36" i="2"/>
  <c r="G33" i="2"/>
  <c r="AE29" i="2"/>
  <c r="X46" i="2"/>
  <c r="F43" i="2"/>
  <c r="AD39" i="2"/>
  <c r="L36" i="2"/>
  <c r="AJ32" i="2"/>
  <c r="R29" i="2"/>
  <c r="W46" i="2"/>
  <c r="E43" i="2"/>
  <c r="AC39" i="2"/>
  <c r="K36" i="2"/>
  <c r="AI32" i="2"/>
  <c r="Q29" i="2"/>
  <c r="AO25" i="2"/>
  <c r="AH46" i="2"/>
  <c r="P43" i="2"/>
  <c r="AN39" i="2"/>
  <c r="V36" i="2"/>
  <c r="D33" i="2"/>
  <c r="AB29" i="2"/>
  <c r="AF44" i="2"/>
  <c r="AF40" i="2"/>
  <c r="AF36" i="2"/>
  <c r="AF32" i="2"/>
  <c r="AF28" i="2"/>
  <c r="AF24" i="2"/>
  <c r="AQ44" i="2"/>
  <c r="Y41" i="2"/>
  <c r="G38" i="2"/>
  <c r="AE34" i="2"/>
  <c r="M31" i="2"/>
  <c r="R46" i="2"/>
  <c r="AP42" i="2"/>
  <c r="X39" i="2"/>
  <c r="F36" i="2"/>
  <c r="AD32" i="2"/>
  <c r="L29" i="2"/>
  <c r="E46" i="2"/>
  <c r="AC42" i="2"/>
  <c r="K39" i="2"/>
  <c r="AI35" i="2"/>
  <c r="Q32" i="2"/>
  <c r="AO28" i="2"/>
  <c r="AN44" i="2"/>
  <c r="V41" i="2"/>
  <c r="D38" i="2"/>
  <c r="AB34" i="2"/>
  <c r="J31" i="2"/>
  <c r="AH27" i="2"/>
  <c r="Z46" i="2"/>
  <c r="Z42" i="2"/>
  <c r="Z38" i="2"/>
  <c r="Z34" i="2"/>
  <c r="Z30" i="2"/>
  <c r="AA38" i="2"/>
  <c r="AP24" i="2"/>
  <c r="R21" i="2"/>
  <c r="AP17" i="2"/>
  <c r="X14" i="2"/>
  <c r="F11" i="2"/>
  <c r="P22" i="2"/>
  <c r="AE26" i="2"/>
  <c r="AI22" i="2"/>
  <c r="Q19" i="2"/>
  <c r="AO15" i="2"/>
  <c r="W12" i="2"/>
  <c r="E9" i="2"/>
  <c r="O41" i="2"/>
  <c r="AD26" i="2"/>
  <c r="AH22" i="2"/>
  <c r="P19" i="2"/>
  <c r="AN15" i="2"/>
  <c r="V12" i="2"/>
  <c r="D9" i="2"/>
  <c r="I41" i="2"/>
  <c r="AC26" i="2"/>
  <c r="U22" i="2"/>
  <c r="U18" i="2"/>
  <c r="U14" i="2"/>
  <c r="U10" i="2"/>
  <c r="G43" i="2"/>
  <c r="AE39" i="2"/>
  <c r="M36" i="2"/>
  <c r="AK32" i="2"/>
  <c r="S29" i="2"/>
  <c r="L46" i="2"/>
  <c r="AJ42" i="2"/>
  <c r="R39" i="2"/>
  <c r="AP35" i="2"/>
  <c r="X32" i="2"/>
  <c r="F29" i="2"/>
  <c r="K46" i="2"/>
  <c r="AI42" i="2"/>
  <c r="Q39" i="2"/>
  <c r="AO35" i="2"/>
  <c r="W32" i="2"/>
  <c r="E29" i="2"/>
  <c r="AC25" i="2"/>
  <c r="V46" i="2"/>
  <c r="D43" i="2"/>
  <c r="AB39" i="2"/>
  <c r="J36" i="2"/>
  <c r="AH32" i="2"/>
  <c r="P29" i="2"/>
  <c r="T44" i="2"/>
  <c r="T40" i="2"/>
  <c r="T36" i="2"/>
  <c r="T32" i="2"/>
  <c r="T28" i="2"/>
  <c r="T24" i="2"/>
  <c r="AE44" i="2"/>
  <c r="M41" i="2"/>
  <c r="AK37" i="2"/>
  <c r="S34" i="2"/>
  <c r="AQ30" i="2"/>
  <c r="F46" i="2"/>
  <c r="AD42" i="2"/>
  <c r="L39" i="2"/>
  <c r="AJ35" i="2"/>
  <c r="R32" i="2"/>
  <c r="AP28" i="2"/>
  <c r="AI45" i="2"/>
  <c r="Q42" i="2"/>
  <c r="AO38" i="2"/>
  <c r="W35" i="2"/>
  <c r="E32" i="2"/>
  <c r="AC28" i="2"/>
  <c r="AB44" i="2"/>
  <c r="J41" i="2"/>
  <c r="AH37" i="2"/>
  <c r="P34" i="2"/>
  <c r="AN30" i="2"/>
  <c r="V27" i="2"/>
  <c r="N46" i="2"/>
  <c r="N42" i="2"/>
  <c r="N38" i="2"/>
  <c r="N34" i="2"/>
  <c r="N30" i="2"/>
  <c r="AA35" i="2"/>
  <c r="AB24" i="2"/>
  <c r="F21" i="2"/>
  <c r="AD17" i="2"/>
  <c r="L14" i="2"/>
  <c r="AJ10" i="2"/>
  <c r="U47" i="2"/>
  <c r="O26" i="2"/>
  <c r="W22" i="2"/>
  <c r="E19" i="2"/>
  <c r="AC15" i="2"/>
  <c r="K12" i="2"/>
  <c r="AI8" i="2"/>
  <c r="AM39" i="2"/>
  <c r="N26" i="2"/>
  <c r="V22" i="2"/>
  <c r="D19" i="2"/>
  <c r="AB15" i="2"/>
  <c r="J12" i="2"/>
  <c r="AH8" i="2"/>
  <c r="AG39" i="2"/>
  <c r="M26" i="2"/>
  <c r="I22" i="2"/>
  <c r="I18" i="2"/>
  <c r="I14" i="2"/>
  <c r="I10" i="2"/>
  <c r="Y42" i="2"/>
  <c r="G39" i="2"/>
  <c r="AE35" i="2"/>
  <c r="M32" i="2"/>
  <c r="AK28" i="2"/>
  <c r="AD45" i="2"/>
  <c r="L42" i="2"/>
  <c r="AJ38" i="2"/>
  <c r="R35" i="2"/>
  <c r="AP31" i="2"/>
  <c r="X28" i="2"/>
  <c r="AC45" i="2"/>
  <c r="K42" i="2"/>
  <c r="AI38" i="2"/>
  <c r="Q35" i="2"/>
  <c r="AO31" i="2"/>
  <c r="W28" i="2"/>
  <c r="E25" i="2"/>
  <c r="AN45" i="2"/>
  <c r="V42" i="2"/>
  <c r="D39" i="2"/>
  <c r="AB35" i="2"/>
  <c r="J32" i="2"/>
  <c r="AL47" i="2"/>
  <c r="AL43" i="2"/>
  <c r="AL39" i="2"/>
  <c r="AL35" i="2"/>
  <c r="AL31" i="2"/>
  <c r="AL27" i="2"/>
  <c r="Y47" i="2"/>
  <c r="G44" i="2"/>
  <c r="AE40" i="2"/>
  <c r="M37" i="2"/>
  <c r="AK33" i="2"/>
  <c r="S30" i="2"/>
  <c r="X45" i="2"/>
  <c r="F42" i="2"/>
  <c r="AD38" i="2"/>
  <c r="L35" i="2"/>
  <c r="AJ31" i="2"/>
  <c r="R28" i="2"/>
  <c r="K45" i="2"/>
  <c r="AI41" i="2"/>
  <c r="Q38" i="2"/>
  <c r="AO34" i="2"/>
  <c r="W31" i="2"/>
  <c r="V47" i="2"/>
  <c r="D44" i="2"/>
  <c r="AB40" i="2"/>
  <c r="J37" i="2"/>
  <c r="AH33" i="2"/>
  <c r="P30" i="2"/>
  <c r="AN26" i="2"/>
  <c r="T45" i="2"/>
  <c r="T41" i="2"/>
  <c r="T37" i="2"/>
  <c r="T33" i="2"/>
  <c r="T29" i="2"/>
  <c r="AA29" i="2"/>
  <c r="AQ23" i="2"/>
  <c r="X20" i="2"/>
  <c r="F17" i="2"/>
  <c r="AD13" i="2"/>
  <c r="L10" i="2"/>
  <c r="U41" i="2"/>
  <c r="AA25" i="2"/>
  <c r="AO21" i="2"/>
  <c r="W18" i="2"/>
  <c r="E15" i="2"/>
  <c r="AC11" i="2"/>
  <c r="K8" i="2"/>
  <c r="AM36" i="2"/>
  <c r="Y25" i="2"/>
  <c r="AN21" i="2"/>
  <c r="V18" i="2"/>
  <c r="D15" i="2"/>
  <c r="AB11" i="2"/>
  <c r="J8" i="2"/>
  <c r="AG36" i="2"/>
  <c r="X25" i="2"/>
  <c r="AA21" i="2"/>
  <c r="AA17" i="2"/>
  <c r="AA13" i="2"/>
  <c r="S47" i="2"/>
  <c r="M42" i="2"/>
  <c r="AK38" i="2"/>
  <c r="S35" i="2"/>
  <c r="AQ31" i="2"/>
  <c r="Y28" i="2"/>
  <c r="R45" i="2"/>
  <c r="AP41" i="2"/>
  <c r="X38" i="2"/>
  <c r="F35" i="2"/>
  <c r="AD31" i="2"/>
  <c r="L28" i="2"/>
  <c r="Q45" i="2"/>
  <c r="AO41" i="2"/>
  <c r="W38" i="2"/>
  <c r="E35" i="2"/>
  <c r="AC31" i="2"/>
  <c r="K28" i="2"/>
  <c r="AI24" i="2"/>
  <c r="AB45" i="2"/>
  <c r="J42" i="2"/>
  <c r="AH38" i="2"/>
  <c r="P35" i="2"/>
  <c r="AN31" i="2"/>
  <c r="Z47" i="2"/>
  <c r="Z43" i="2"/>
  <c r="Z39" i="2"/>
  <c r="Z35" i="2"/>
  <c r="Z31" i="2"/>
  <c r="Z27" i="2"/>
  <c r="M47" i="2"/>
  <c r="AK43" i="2"/>
  <c r="S40" i="2"/>
  <c r="AQ36" i="2"/>
  <c r="Y33" i="2"/>
  <c r="G30" i="2"/>
  <c r="L45" i="2"/>
  <c r="AJ41" i="2"/>
  <c r="R38" i="2"/>
  <c r="AP34" i="2"/>
  <c r="X31" i="2"/>
  <c r="F28" i="2"/>
  <c r="AO44" i="2"/>
  <c r="W41" i="2"/>
  <c r="E38" i="2"/>
  <c r="AC34" i="2"/>
  <c r="K31" i="2"/>
  <c r="J47" i="2"/>
  <c r="AH43" i="2"/>
  <c r="P40" i="2"/>
  <c r="AN36" i="2"/>
  <c r="V33" i="2"/>
  <c r="D30" i="2"/>
  <c r="AB26" i="2"/>
  <c r="H45" i="2"/>
  <c r="H41" i="2"/>
  <c r="H37" i="2"/>
  <c r="H33" i="2"/>
  <c r="H29" i="2"/>
  <c r="AE28" i="2"/>
  <c r="AD23" i="2"/>
  <c r="L20" i="2"/>
  <c r="AJ16" i="2"/>
  <c r="R13" i="2"/>
  <c r="AP9" i="2"/>
  <c r="U38" i="2"/>
  <c r="L25" i="2"/>
  <c r="AC21" i="2"/>
  <c r="K18" i="2"/>
  <c r="AI14" i="2"/>
  <c r="Q11" i="2"/>
  <c r="AA34" i="2"/>
  <c r="O35" i="2"/>
  <c r="K25" i="2"/>
  <c r="AB21" i="2"/>
  <c r="J18" i="2"/>
  <c r="AH14" i="2"/>
  <c r="P11" i="2"/>
  <c r="AA43" i="2"/>
  <c r="I35" i="2"/>
  <c r="J25" i="2"/>
  <c r="O21" i="2"/>
  <c r="O17" i="2"/>
  <c r="O13" i="2"/>
  <c r="AE45" i="2"/>
  <c r="AQ41" i="2"/>
  <c r="Y38" i="2"/>
  <c r="G35" i="2"/>
  <c r="AE31" i="2"/>
  <c r="M28" i="2"/>
  <c r="F45" i="2"/>
  <c r="AD41" i="2"/>
  <c r="L38" i="2"/>
  <c r="AJ34" i="2"/>
  <c r="R31" i="2"/>
  <c r="AP27" i="2"/>
  <c r="E45" i="2"/>
  <c r="AC41" i="2"/>
  <c r="K38" i="2"/>
  <c r="AI34" i="2"/>
  <c r="Q31" i="2"/>
  <c r="AO27" i="2"/>
  <c r="W24" i="2"/>
  <c r="P45" i="2"/>
  <c r="AN41" i="2"/>
  <c r="V38" i="2"/>
  <c r="D35" i="2"/>
  <c r="AB31" i="2"/>
  <c r="N47" i="2"/>
  <c r="N43" i="2"/>
  <c r="N39" i="2"/>
  <c r="N35" i="2"/>
  <c r="N31" i="2"/>
  <c r="N27" i="2"/>
  <c r="AQ46" i="2"/>
  <c r="Y43" i="2"/>
  <c r="G40" i="2"/>
  <c r="AE36" i="2"/>
  <c r="M33" i="2"/>
  <c r="AK29" i="2"/>
  <c r="AP44" i="2"/>
  <c r="X41" i="2"/>
  <c r="F38" i="2"/>
  <c r="AD34" i="2"/>
  <c r="L31" i="2"/>
  <c r="AJ27" i="2"/>
  <c r="AC44" i="2"/>
  <c r="K41" i="2"/>
  <c r="AI37" i="2"/>
  <c r="Q34" i="2"/>
  <c r="AO30" i="2"/>
  <c r="AN46" i="2"/>
  <c r="V43" i="2"/>
  <c r="D40" i="2"/>
  <c r="AB36" i="2"/>
  <c r="J33" i="2"/>
  <c r="AH29" i="2"/>
  <c r="P26" i="2"/>
  <c r="AL44" i="2"/>
  <c r="AL40" i="2"/>
  <c r="AL36" i="2"/>
  <c r="AL32" i="2"/>
  <c r="AL28" i="2"/>
  <c r="U27" i="2"/>
  <c r="R23" i="2"/>
  <c r="AP19" i="2"/>
  <c r="X16" i="2"/>
  <c r="F13" i="2"/>
  <c r="AD9" i="2"/>
  <c r="U35" i="2"/>
  <c r="AO24" i="2"/>
  <c r="Q21" i="2"/>
  <c r="AO17" i="2"/>
  <c r="W14" i="2"/>
  <c r="E11" i="2"/>
  <c r="F26" i="2"/>
  <c r="AM33" i="2"/>
  <c r="S45" i="2"/>
  <c r="AE41" i="2"/>
  <c r="M38" i="2"/>
  <c r="AK34" i="2"/>
  <c r="S31" i="2"/>
  <c r="AQ27" i="2"/>
  <c r="AJ44" i="2"/>
  <c r="R41" i="2"/>
  <c r="AP37" i="2"/>
  <c r="X34" i="2"/>
  <c r="F31" i="2"/>
  <c r="AD27" i="2"/>
  <c r="AI44" i="2"/>
  <c r="Q41" i="2"/>
  <c r="AO37" i="2"/>
  <c r="W34" i="2"/>
  <c r="E31" i="2"/>
  <c r="AC27" i="2"/>
  <c r="K24" i="2"/>
  <c r="D45" i="2"/>
  <c r="AB41" i="2"/>
  <c r="J38" i="2"/>
  <c r="AH34" i="2"/>
  <c r="P31" i="2"/>
  <c r="AF46" i="2"/>
  <c r="AF42" i="2"/>
  <c r="AF38" i="2"/>
  <c r="AF34" i="2"/>
  <c r="AF30" i="2"/>
  <c r="AF26" i="2"/>
  <c r="AE46" i="2"/>
  <c r="M43" i="2"/>
  <c r="AK39" i="2"/>
  <c r="S36" i="2"/>
  <c r="AQ32" i="2"/>
  <c r="Y29" i="2"/>
  <c r="AD44" i="2"/>
  <c r="L41" i="2"/>
  <c r="AJ37" i="2"/>
  <c r="R34" i="2"/>
  <c r="AP30" i="2"/>
  <c r="AI47" i="2"/>
  <c r="Q44" i="2"/>
  <c r="AO40" i="2"/>
  <c r="W37" i="2"/>
  <c r="E34" i="2"/>
  <c r="AC30" i="2"/>
  <c r="AB46" i="2"/>
  <c r="J43" i="2"/>
  <c r="AH39" i="2"/>
  <c r="P36" i="2"/>
  <c r="AN32" i="2"/>
  <c r="V29" i="2"/>
  <c r="D26" i="2"/>
  <c r="Z44" i="2"/>
  <c r="Z40" i="2"/>
  <c r="Z36" i="2"/>
  <c r="Z32" i="2"/>
  <c r="Z28" i="2"/>
  <c r="F27" i="2"/>
  <c r="F23" i="2"/>
  <c r="AD19" i="2"/>
  <c r="L16" i="2"/>
  <c r="AJ12" i="2"/>
  <c r="R9" i="2"/>
  <c r="U32" i="2"/>
  <c r="AA24" i="2"/>
  <c r="E21" i="2"/>
  <c r="AC17" i="2"/>
  <c r="K14" i="2"/>
  <c r="AI10" i="2"/>
  <c r="E24" i="2"/>
  <c r="O32" i="2"/>
  <c r="Z24" i="2"/>
  <c r="D21" i="2"/>
  <c r="AB17" i="2"/>
  <c r="J14" i="2"/>
  <c r="AH10" i="2"/>
  <c r="AG24" i="2"/>
  <c r="AK44" i="2"/>
  <c r="S41" i="2"/>
  <c r="AQ37" i="2"/>
  <c r="Y34" i="2"/>
  <c r="G31" i="2"/>
  <c r="AP47" i="2"/>
  <c r="X44" i="2"/>
  <c r="F41" i="2"/>
  <c r="AD37" i="2"/>
  <c r="L34" i="2"/>
  <c r="AJ30" i="2"/>
  <c r="AO47" i="2"/>
  <c r="W44" i="2"/>
  <c r="E41" i="2"/>
  <c r="AC37" i="2"/>
  <c r="K34" i="2"/>
  <c r="AI30" i="2"/>
  <c r="Q27" i="2"/>
  <c r="AO23" i="2"/>
  <c r="AH44" i="2"/>
  <c r="P41" i="2"/>
  <c r="AN37" i="2"/>
  <c r="V34" i="2"/>
  <c r="D31" i="2"/>
  <c r="T46" i="2"/>
  <c r="T42" i="2"/>
  <c r="T38" i="2"/>
  <c r="T34" i="2"/>
  <c r="T30" i="2"/>
  <c r="T26" i="2"/>
  <c r="S46" i="2"/>
  <c r="AQ42" i="2"/>
  <c r="Y39" i="2"/>
  <c r="G36" i="2"/>
  <c r="AE32" i="2"/>
  <c r="AJ47" i="2"/>
  <c r="R44" i="2"/>
  <c r="AP40" i="2"/>
  <c r="X37" i="2"/>
  <c r="F34" i="2"/>
  <c r="AD30" i="2"/>
  <c r="W47" i="2"/>
  <c r="E44" i="2"/>
  <c r="AC40" i="2"/>
  <c r="K37" i="2"/>
  <c r="AI33" i="2"/>
  <c r="Q30" i="2"/>
  <c r="P46" i="2"/>
  <c r="AN42" i="2"/>
  <c r="V39" i="2"/>
  <c r="D36" i="2"/>
  <c r="AB32" i="2"/>
  <c r="J29" i="2"/>
  <c r="AG47" i="2"/>
  <c r="N44" i="2"/>
  <c r="N40" i="2"/>
  <c r="N36" i="2"/>
  <c r="N32" i="2"/>
  <c r="N28" i="2"/>
  <c r="AG26" i="2"/>
  <c r="AJ22" i="2"/>
  <c r="R19" i="2"/>
  <c r="AP15" i="2"/>
  <c r="X12" i="2"/>
  <c r="F9" i="2"/>
  <c r="U29" i="2"/>
  <c r="M24" i="2"/>
  <c r="AI20" i="2"/>
  <c r="Q17" i="2"/>
  <c r="AO13" i="2"/>
  <c r="W10" i="2"/>
  <c r="AB22" i="2"/>
  <c r="AM30" i="2"/>
  <c r="L24" i="2"/>
  <c r="AH20" i="2"/>
  <c r="Y44" i="2"/>
  <c r="G41" i="2"/>
  <c r="AE37" i="2"/>
  <c r="M34" i="2"/>
  <c r="AK30" i="2"/>
  <c r="AD47" i="2"/>
  <c r="L44" i="2"/>
  <c r="AJ40" i="2"/>
  <c r="R37" i="2"/>
  <c r="AP33" i="2"/>
  <c r="X30" i="2"/>
  <c r="AC47" i="2"/>
  <c r="K44" i="2"/>
  <c r="AI40" i="2"/>
  <c r="Q37" i="2"/>
  <c r="AO33" i="2"/>
  <c r="W30" i="2"/>
  <c r="E27" i="2"/>
  <c r="AN47" i="2"/>
  <c r="V44" i="2"/>
  <c r="D41" i="2"/>
  <c r="AB37" i="2"/>
  <c r="J34" i="2"/>
  <c r="AH30" i="2"/>
  <c r="H46" i="2"/>
  <c r="H42" i="2"/>
  <c r="H38" i="2"/>
  <c r="H34" i="2"/>
  <c r="H30" i="2"/>
  <c r="H26" i="2"/>
  <c r="G46" i="2"/>
  <c r="AE42" i="2"/>
  <c r="M39" i="2"/>
  <c r="AK35" i="2"/>
  <c r="S32" i="2"/>
  <c r="X47" i="2"/>
  <c r="F44" i="2"/>
  <c r="AD40" i="2"/>
  <c r="L37" i="2"/>
  <c r="AJ33" i="2"/>
  <c r="R30" i="2"/>
  <c r="K47" i="2"/>
  <c r="AI43" i="2"/>
  <c r="Q40" i="2"/>
  <c r="AO36" i="2"/>
  <c r="W33" i="2"/>
  <c r="E30" i="2"/>
  <c r="D46" i="2"/>
  <c r="AB42" i="2"/>
  <c r="J39" i="2"/>
  <c r="AH35" i="2"/>
  <c r="P32" i="2"/>
  <c r="AN28" i="2"/>
  <c r="AF47" i="2"/>
  <c r="AF43" i="2"/>
  <c r="AF39" i="2"/>
  <c r="AF35" i="2"/>
  <c r="AF31" i="2"/>
  <c r="AF27" i="2"/>
  <c r="Q26" i="2"/>
  <c r="X22" i="2"/>
  <c r="F19" i="2"/>
  <c r="AD15" i="2"/>
  <c r="L12" i="2"/>
  <c r="AJ8" i="2"/>
  <c r="AA28" i="2"/>
  <c r="AP23" i="2"/>
  <c r="W20" i="2"/>
  <c r="E17" i="2"/>
  <c r="AC13" i="2"/>
  <c r="K10" i="2"/>
  <c r="O47" i="2"/>
  <c r="O29" i="2"/>
  <c r="AN23" i="2"/>
  <c r="V20" i="2"/>
  <c r="D17" i="2"/>
  <c r="AB13" i="2"/>
  <c r="J10" i="2"/>
  <c r="I47" i="2"/>
  <c r="R33" i="2"/>
  <c r="F47" i="2"/>
  <c r="Y40" i="2"/>
  <c r="AM17" i="2"/>
  <c r="Y24" i="2"/>
  <c r="AN22" i="2"/>
  <c r="P15" i="2"/>
  <c r="AN24" i="2"/>
  <c r="Q13" i="2"/>
  <c r="AN27" i="2"/>
  <c r="AJ18" i="2"/>
  <c r="T31" i="2"/>
  <c r="T47" i="2"/>
  <c r="AN38" i="2"/>
  <c r="K33" i="2"/>
  <c r="AO46" i="2"/>
  <c r="R40" i="2"/>
  <c r="Y35" i="2"/>
  <c r="AL25" i="2"/>
  <c r="AL41" i="2"/>
  <c r="P37" i="2"/>
  <c r="AI26" i="2"/>
  <c r="W40" i="2"/>
  <c r="AD33" i="2"/>
  <c r="R47" i="2"/>
  <c r="AK40" i="2"/>
  <c r="AN25" i="2"/>
  <c r="Q15" i="2"/>
  <c r="U44" i="2"/>
  <c r="AJ20" i="2"/>
  <c r="AF33" i="2"/>
  <c r="J27" i="2"/>
  <c r="AN40" i="2"/>
  <c r="K35" i="2"/>
  <c r="AD28" i="2"/>
  <c r="R42" i="2"/>
  <c r="Y37" i="2"/>
  <c r="H28" i="2"/>
  <c r="H44" i="2"/>
  <c r="P39" i="2"/>
  <c r="AI28" i="2"/>
  <c r="W42" i="2"/>
  <c r="AD35" i="2"/>
  <c r="G29" i="2"/>
  <c r="AK42" i="2"/>
  <c r="D22" i="2"/>
  <c r="I12" i="2"/>
  <c r="AA19" i="2"/>
  <c r="AM25" i="2"/>
  <c r="V8" i="2"/>
  <c r="AH16" i="2"/>
  <c r="AM27" i="2"/>
  <c r="W16" i="2"/>
  <c r="L8" i="2"/>
  <c r="AP21" i="2"/>
  <c r="H35" i="2"/>
  <c r="P28" i="2"/>
  <c r="D42" i="2"/>
  <c r="Q36" i="2"/>
  <c r="AJ29" i="2"/>
  <c r="X43" i="2"/>
  <c r="AE38" i="2"/>
  <c r="Z29" i="2"/>
  <c r="Z45" i="2"/>
  <c r="V40" i="2"/>
  <c r="M30" i="2"/>
  <c r="AQ43" i="2"/>
  <c r="AQ47" i="2"/>
  <c r="G45" i="2"/>
  <c r="AQ45" i="2"/>
  <c r="M46" i="2"/>
  <c r="Y46" i="2"/>
  <c r="AK46" i="2"/>
  <c r="G47" i="2"/>
  <c r="AE47" i="2"/>
</calcChain>
</file>

<file path=xl/sharedStrings.xml><?xml version="1.0" encoding="utf-8"?>
<sst xmlns="http://schemas.openxmlformats.org/spreadsheetml/2006/main" count="1110" uniqueCount="181">
  <si>
    <t>Well:</t>
  </si>
  <si>
    <t>Geothermal</t>
  </si>
  <si>
    <t>Risk Register Owner:</t>
  </si>
  <si>
    <t>Akram Miriyev</t>
  </si>
  <si>
    <t>Last Updated:</t>
  </si>
  <si>
    <t>Step 1. Identify and categorize the Risk Event</t>
  </si>
  <si>
    <t>Step 2. Assess Risk Ranking</t>
  </si>
  <si>
    <t>Step 3. Identify Risk Management Measures</t>
  </si>
  <si>
    <t>Risk No</t>
  </si>
  <si>
    <t>Risk Event</t>
  </si>
  <si>
    <t>Consequence</t>
  </si>
  <si>
    <t>Category</t>
  </si>
  <si>
    <t>Risk Type / Solution</t>
  </si>
  <si>
    <t>Owner</t>
  </si>
  <si>
    <t>Worst Credible Assessment</t>
  </si>
  <si>
    <t>Prevention / Mitigations</t>
  </si>
  <si>
    <t>Net Assessment</t>
  </si>
  <si>
    <t>Likelihood of Occurrence</t>
  </si>
  <si>
    <t>Impact</t>
  </si>
  <si>
    <t>Residual Likelihood of Occurrence</t>
  </si>
  <si>
    <t>Residual Impact</t>
  </si>
  <si>
    <t>Losses while drilling</t>
  </si>
  <si>
    <t>All Types of Wells</t>
  </si>
  <si>
    <t>Operations</t>
  </si>
  <si>
    <t>H</t>
  </si>
  <si>
    <t>Well or Rig Name:</t>
  </si>
  <si>
    <t>Worst Credible / Net Assessment:</t>
  </si>
  <si>
    <t>#</t>
  </si>
  <si>
    <t>A</t>
  </si>
  <si>
    <t>B</t>
  </si>
  <si>
    <t>C</t>
  </si>
  <si>
    <t>D</t>
  </si>
  <si>
    <t>E</t>
  </si>
  <si>
    <t>F</t>
  </si>
  <si>
    <t>G</t>
  </si>
  <si>
    <t>Likelihood</t>
  </si>
  <si>
    <t>Assessment Type</t>
  </si>
  <si>
    <t>Instructions</t>
  </si>
  <si>
    <t>Worst Credible</t>
  </si>
  <si>
    <t>Enter risks in Risk Register rows 7 onward.</t>
  </si>
  <si>
    <t>Select likelihood 1-8 and impact A-H.</t>
  </si>
  <si>
    <t>Use Risk Matrix!B3 dropdown to switch Worst Credible / Net Assessment.</t>
  </si>
  <si>
    <t>Each likelihood/impact quadrant is a 5 x 5 mini-grid, allowing up to 25 risk numbers.</t>
  </si>
  <si>
    <t>Empty positions show the matrix zone color; risk numbers are displayed in blue text.</t>
  </si>
  <si>
    <t>Do not overwrite matrix formulas.</t>
  </si>
  <si>
    <t>Matrix Helper</t>
  </si>
  <si>
    <t>Selected Likelihood</t>
  </si>
  <si>
    <t>Selected Impact</t>
  </si>
  <si>
    <t>Slot in Quadrant</t>
  </si>
  <si>
    <t>Matrix Key</t>
  </si>
  <si>
    <t>Issues while sliding with motor (oriented drilling)</t>
  </si>
  <si>
    <t>Deviation from plan, Loss of steerability</t>
  </si>
  <si>
    <t>Highly-deviated</t>
  </si>
  <si>
    <t>High wellbore tortuosity, high local doglegs</t>
  </si>
  <si>
    <t>Planning</t>
  </si>
  <si>
    <t>Poor Directional control , inability to follow directional plan for BHA or formation related issues</t>
  </si>
  <si>
    <t>Hole instability Issues</t>
  </si>
  <si>
    <t>Tight hole, Loss of hole, Running casing to bottom</t>
  </si>
  <si>
    <t>Pack offs around BHA while drilling shoetrack or connection</t>
  </si>
  <si>
    <t>Stuck pipe, Loss of circulation, Loss of equipment</t>
  </si>
  <si>
    <t>Losses during cement job</t>
  </si>
  <si>
    <t>Integrity problems, Cross flow, Ground water pollution</t>
  </si>
  <si>
    <t>Shock &amp; Vibrations While Drilling</t>
  </si>
  <si>
    <t>Previous section not TD'ed according to plan, shallow set previous casing</t>
  </si>
  <si>
    <t>Break out of unstable clay or porous sandstone</t>
  </si>
  <si>
    <t>Kick while drilling / Well Control</t>
  </si>
  <si>
    <t>Time delay, Break down of 185/8" shoe, Environmental impact, Human injuries</t>
  </si>
  <si>
    <t>Leaking liner top packer</t>
  </si>
  <si>
    <t>Well integrity issues</t>
  </si>
  <si>
    <t>Total losses (i.e no returns)</t>
  </si>
  <si>
    <t>Loosing BHA and equipment, Fractures, Resulting side track, Loss of well control, Loss of well integrity</t>
  </si>
  <si>
    <t>Insufficient FIT</t>
  </si>
  <si>
    <t>Insufficient kick tolerance</t>
  </si>
  <si>
    <t>Not able to run casing or liner to bottom</t>
  </si>
  <si>
    <t>Time delay, Change of casing seat, Operational issues in next section</t>
  </si>
  <si>
    <t>Differential Stuck Pipe</t>
  </si>
  <si>
    <t>Sticking the 21-1/2" BHA, delay, lost BHA</t>
  </si>
  <si>
    <t>Shallow gas</t>
  </si>
  <si>
    <t>Uncontrolled gas flow at surface, fire at rig and loss of personnel life</t>
  </si>
  <si>
    <t>Unable to circulate through shoe</t>
  </si>
  <si>
    <t>Unable to cement, time delay</t>
  </si>
  <si>
    <t>Well proposal does not describe in detail the potential geothermal well objectives</t>
  </si>
  <si>
    <t>Well design may not be optimal for geothermal well lifecycle loads Limitations to injection operations, well life, injection / production rates, may result in cost increase.</t>
  </si>
  <si>
    <t>Well control due to PPFG uncertainty and limited data from off-set wells</t>
  </si>
  <si>
    <t>Loss of well control, failure of barriers while drilling</t>
  </si>
  <si>
    <t>Incorrect geological identification of shoedepth</t>
  </si>
  <si>
    <t>Shoe is set too shallow may result in hole stability issues Shoe set too deep may cause lack of core from seal section</t>
  </si>
  <si>
    <t>Top of cement not achieved as per planned</t>
  </si>
  <si>
    <t>Integrity problems, Time delay</t>
  </si>
  <si>
    <t>Down hole LWD / MWD tool failure</t>
  </si>
  <si>
    <t>Additional round trips, Time dependent hole stability issues Time delay, Poor data, Hole exposure, Poor directional control</t>
  </si>
  <si>
    <t>Wireline logging failure/stuck tool</t>
  </si>
  <si>
    <t>Lack of data for seismic well tie and geomechanics for overburden seal</t>
  </si>
  <si>
    <t>Stuck casing</t>
  </si>
  <si>
    <t>Time delay, Change of casing seat, Operational issues in next section, Space out problems at surface</t>
  </si>
  <si>
    <t>Fishing for core barrel, in worst case plug and sidetrack.</t>
  </si>
  <si>
    <t>Reservoir damage due to inappropriate drilling fluids</t>
  </si>
  <si>
    <t>Incorrect or poor data during formation flow test which is critical to storage development plan, Potential poor/incorrect permeability data from WL and core data</t>
  </si>
  <si>
    <t>Junction Integrity Risk</t>
  </si>
  <si>
    <t>The junction creation and integrity are critical and technically complicated, posing significant risks during construction and operations, including potential blowout conditions.</t>
  </si>
  <si>
    <t>Multilateral</t>
  </si>
  <si>
    <t>The complexity of multilateral wells can complicate well control, especially when running screens or slotted liners without an inner string, which can restrict circulation and lead to underbalanced situations.</t>
  </si>
  <si>
    <t>Task-Performance Risk</t>
  </si>
  <si>
    <t>High-risk areas include the physical building of the junction, drilling of the lateral, hydraulic fracturing, and operations near the junction, which can jeopardize the integrity of the well and production from all laterals.</t>
  </si>
  <si>
    <t>Fluid Management Risk</t>
  </si>
  <si>
    <t>When re-entering the main well bore after completing the lateral, the condition of the fluid in the main bore is unknown, which can lead to underbalanced situations if there are leaks.</t>
  </si>
  <si>
    <t>Operational Time Risk</t>
  </si>
  <si>
    <t>The time exposed to drilling mud can destabilize formations, particularly in shale or depleted reservoirs, leading to potential borehole collapse or sticking of tools during logging operations.</t>
  </si>
  <si>
    <t>LCM strategy ready,
Optimized filter cake,
Mud weight management (differential
sticking)</t>
  </si>
  <si>
    <t>In case of restrictions adjust parameters
while reaming,
Low RPM and low flow,
Avoid reaming down,
Trained personnel,
Optimised trajectory,
Continuously control survey,
QC equipment</t>
  </si>
  <si>
    <t>Optimised cement weight, schedule and
pumping,
ECD monitoring,
Use LC fibres,
Maintain mud properties,
Check for incompatibility,
Prepare spaghetti pipes in anulus and
cement</t>
  </si>
  <si>
    <t>Monitoring drilling fluid,
Set up parameters and ranges by mud
engineer,
Keep in contact with WSG</t>
  </si>
  <si>
    <t>Controlled ROP
GR correlation and comparison to off-set
wells
Close sampling and inspection of cuttings</t>
  </si>
  <si>
    <t>Have complete back up,
DHM and MWD available at site,
Shallow hole test,
Test tools on deck,
Checking history and maintenance</t>
  </si>
  <si>
    <t>Have additional core barrels available
Be prepared for side wall coring</t>
  </si>
  <si>
    <t>Select the junction type based on pressure, life-of-well, and re-entry requirements; perform detailed pre-job engineering for casing, window milling, orientation, and loads; use qualified completion/junction systems; apply strict QA/QC during milling, running, cementing, and installation; verify integrity with pressure tests, inflow tests, cement evaluation, and drift/gauge runs; maintain clear primary and secondary well barriers; and limit aggressive operations near the junction while defining maximum allowable future mechanical loads.</t>
  </si>
  <si>
    <t xml:space="preserve">Prepare a multilateral-specific well control plan for drilling, completion, re-entry, and intervention; model hydraulics and surge/swab pressures for each branch; </t>
  </si>
  <si>
    <t>Break the project into critical operations with formal risk assessments (for example HAZID/HAZOP); use experienced multilateral personnel and vendors; check BHA and tool compatibility for junction passage and lateral entry;</t>
  </si>
  <si>
    <t xml:space="preserve">Before re-entry, circulate and condition fluids where possible and confirm density, rheology, solids, and gas contamination; monitor for losses, gains, pressure anomalies, and fluid-level changes; use temporary isolation devices or fluid barriers between zones; </t>
  </si>
  <si>
    <t>Reduce open-hole exposure through optimized sequencing, trip planning, and logistics; select drilling fluids with strong shale inhibition and fluid-loss control; 
continuously update the wellbore stability model using real-time data;</t>
  </si>
  <si>
    <t>Observed on Specific Offset Wells*</t>
  </si>
  <si>
    <t>Formation / Lithology</t>
  </si>
  <si>
    <t>Tight spot in OH either due to chemical or mechanical borehole instability</t>
  </si>
  <si>
    <t>Loss of time, stuck BHA, loss of of the BHA, plug&amp;abandon</t>
  </si>
  <si>
    <t>ALE-01 : While making a check trip in the 17 1/2"hole section prior to logging a bridge was encountered at 687m, bridge was cleared. While logging the Induction-SP log could not pass 465m. A check trip was made and the section 465-660m was reamed. On second attempt the Induction-SP log would not pass 746m, resulting in bottom part of the hole not being logged.</t>
  </si>
  <si>
    <t>Breda / NUBA</t>
  </si>
  <si>
    <t>KKP-GT-01: During the 7" liner installation it was not possible to reach planned setting gepth. The initial hold up depth was at 2091 m ah. Liner was washed down to 2097m ah where no progress was made. Decision was made cement liner in place.</t>
  </si>
  <si>
    <t>ZEZ1C</t>
  </si>
  <si>
    <t>KKP-GT-01: While logging the 12 1/4"section the logging tools stood up at 1055m (+/- 65 m from bottom). However zones of interest were succesfully logged.
KKP-GT-01: While logging the 8 1/2"section the logging tools stood up at 1741m, therefore the ZeZC1 could not be logged. As a result gas in the ZeZC1 could not be excluded and the cement recipe of the 7"liner needed to be altered.</t>
  </si>
  <si>
    <t>ADK-GT-01 : The geological report and mud logging indicated that the Vlieland claystone appeared unstable while drilling with a 1.30 s.g. mud weight (MW). After increasing the mud weight to 1.35 s.g., fewer overpulls and cavings were observed.-It was observed that the Vlieland claystone was unstable with an insufficient mud weight of 1.30 s.g., and showed improved stability when the mud weight was increased to 1.35 s.g.</t>
  </si>
  <si>
    <t xml:space="preserve">1. BLT-01 - Observed losses during drilling 8.5" section - partial success achieved multiple LCM pill placement. Eventually losses stopped. Run &amp; cement 7" liner without any losses.
2. ADK-GT-01 : Dynamic losses at 230m were recorded in a rate of 10 m³/h decreased to 8 m³/h dynamic
losses at 270 m after pumping Lcm. Between 225m-275m total losses was recorded, in total 88 m³ was lost. In 24" section losses (dynamic) ca. 88 m³ Static losses at 515 m 0.3 m³/h was reported when top of marl of Oosterhout formation was drilled.- North Sea formation is naturally more permeable. If the rock formations have high porosity (e.g., sandstone or fractured rock), drilling fluid (mud) can easily flow into these porous zones, causing mud loss. No detailed information were mentioned in the reports about the cause of the losses. 
3. ADK-GT-02 : Mud losses were reported between depths of 140m and 280m, with dynamic losses ranging from 15 to 25 m³/h. At 235m, static losses were recorded at 200 l/h, leading to a total of 65m³ of losses per day. By the end of the day, the cumulative mud losses amounted to 250m³. However, after reaching a depth of 280m, no further mud losses were observed.-The cause of the losses are possibly by high permeable unconsolidated sediments of Upper North sea. </t>
  </si>
  <si>
    <t>1. Zechstein Upper Claystone and Z4
2. NUOT
3. NUCT</t>
  </si>
  <si>
    <t xml:space="preserve">Additional trips to change out bit, reduction in ROP, loss of time. </t>
  </si>
  <si>
    <t>HEK-GT-01-S2 : 12 1/4” Hole: Volpriehausen sandstone is hard and abrasive due to which bit wears out fast and is undergauge with as result slow ROP.
-The Volpriehausen sandstone formation is hard and abrasive, causing rapid bit wear. As the bit wears out quickly, it becomes undergauge, which leads to slower Rate of Penetration (ROP). This results in reduced drilling efficiency and increased time required to drill through the formation.</t>
  </si>
  <si>
    <t>RBMVL</t>
  </si>
  <si>
    <t xml:space="preserve">Analysis of offset wells, adhere to the regional bit selection guide, section or formation specific bit designs could also prevent unexpected bit issues. During operations monitor MSE (mechanical specific energy) to ensure bit not spending excess energy to drill-out unit volume of rock. </t>
  </si>
  <si>
    <t>High torque and drag levels further down the hole, Issues placing the ESP,</t>
  </si>
  <si>
    <t xml:space="preserve">Damage to high cost BHA items, lost in hole, BHA twist-off or BHA back-off due to reactive torque. Time consuming fishing operations to fish BHA items. </t>
  </si>
  <si>
    <t>ERM-01 : Drill string broke while drilling the 12 1/4" hole section. Multiple fishing attempts but these did not solve the problem. Sidetrack was required.-Stuck pipe possibly due to swelling clays in sandy claystone.</t>
  </si>
  <si>
    <t>NM</t>
  </si>
  <si>
    <t>1. KKP-GT-01 : While drilling 12 1/4" BHA trip was required to establish required build rate. New BHA drilled to section TD. 
2. WSP-01 : While drilling the 12 1/4"section some deviation problems were encountered in the Jurassic shales which slowed down penetration rates considerably.-No details on cause of deviation problems were reported. They may be inflicted by layering of shales.</t>
  </si>
  <si>
    <t>Additional BHA trips, loss of rig time. Reduced ROP to achieve required steering capabilities
Poor hole quality and high well tortuosity if the wrong directions are not corrected on time.</t>
  </si>
  <si>
    <t>WSP-01 : Slow progress while coring in the 8 1/2"hole section as the fractured nature of the dolomite caused  considerable core jamming-Jamming caused by fractured limestone</t>
  </si>
  <si>
    <t>ZEZ3C</t>
  </si>
  <si>
    <t>KNNC / Vlieland Claystone Formation</t>
  </si>
  <si>
    <t>NLLFC
KNGLM / Middle Holland Claystone Member</t>
  </si>
  <si>
    <t>GEO4ALL</t>
  </si>
  <si>
    <t>Well Control Risk [Multilateral]</t>
  </si>
  <si>
    <t>Analyzed Offset Wells</t>
  </si>
  <si>
    <t>Unable to drill ahead and /or Unable to trip due to heavy losses</t>
  </si>
  <si>
    <t>Ensure proper hole cleaning by adequate mud properties, Trained personnel, Optimised trajectory using latest directional trajectory,
Continuously control survey, QC equipment</t>
  </si>
  <si>
    <t>Watch out for transition zones,
Do not exceed a recommended level dogleg ~3 deg/30m
dogleg unless consequences thoroughly analyzed.
Wash and ream high doglegs carefully,
Trained personnel, Optimised trajectory, Continuously control survey,
QC equipment</t>
  </si>
  <si>
    <t>1. NLLFC
2. ATAL</t>
  </si>
  <si>
    <t>Monitor string up and down weights carefully, special care when picking up, Monitor trends i.e., torque, ECD, SPP,
cuttings, Ensure correct mud parameters and
inhibition</t>
  </si>
  <si>
    <t>Carry out geomechanical study for the specific well. Analyze offset wells' cuttings report, losses and FITs to select suitable MWs. 
Monitor returns and adjust mud weight as
required,
Ensure proper hole cleaning and mud
inhibition,
Ream as and when required</t>
  </si>
  <si>
    <t>Mud properties to adapt to drilling the unplanned section. Carry out KT calculations to ensure if next hole section can be drilled with min required KT volume. 
Continuous monitoring and control on
cavings and formation type,</t>
  </si>
  <si>
    <t>Use of proper Well control equipment, and regular pressure testing according to industry standards.
Trained personnel,
Kick detection system, continous well monitoring procedures.
Ensure having enough weighting material on
site to increase mud density</t>
  </si>
  <si>
    <t>Test packer/ liner lap upon installation,
Ensure contingency tie-back packer available if liner lap is leaking,
Scraping 9-5/8" casing prior to liner run,
trained personnel for liner hanger/packer setting operations</t>
  </si>
  <si>
    <t>Preparation of loss decision tree to decide which LCM material to use (LCM strategy)
Preparation of cement plugs,
Optimize mud and cement weights including
fibres</t>
  </si>
  <si>
    <t>Consider accepting low FIT and drill ahead with limited parameters - analyze risk of poor hole cleaning and loss of directional control. 
Have cement stinger and cement recipe
available to perform cement squeeze of
casing shoe.</t>
  </si>
  <si>
    <t>Consider check-trip to shoe if poor hole condition suspected. Clear backreaming practices.
Monitoring hole conditions while POOH with BHA,
Monitoring torque and drag,
Avoid high doglegs,</t>
  </si>
  <si>
    <t>ensure ability to circulate through shoe prior
running casing running. 
Break circulation while RIH at regularly if possible. 
Avoid using flat bottom or easy-to-plug shoe types. Lipstick shoes are generally better.</t>
  </si>
  <si>
    <t xml:space="preserve">Team to be aware of dual purpose, seek
knowledge and available information about
industry experience and recommendations.
Clear understanding and alignment on primary objective of the well and walk-away scenario for certain subsurface related risks. </t>
  </si>
  <si>
    <t xml:space="preserve">Offset well analysis to enhance understanding of PPFG in the area. Robust casing design and mud weight design.
Carry out section specific risk assessment with multi-disciplinary team for critical hole sections. </t>
  </si>
  <si>
    <t>Optimise cement weights, schedule and pumping
ECD monitoring,
Maintain mud properties,
Add loss circulation material to slurry
Comprehensive slurry testing prior executing job,
Have contingency equipment for top cement job on site (if possible)</t>
  </si>
  <si>
    <t>RIH simulation with service company's proprietary software - clear understanding of well geometry and high dogleg areas throughout the well. 
Have backup tool in case of failure,
have fishing tools available if stuck in hole,
condition of mud before logging,
Perform hole condition trip with BHA
Consider using rollers or tractor if well inclination has more than 60 deg.</t>
  </si>
  <si>
    <t>Torque and drag analysis with emphasis on tripping out loads in case required. 
Monitor hole conditions on trip out prior to running casing
Maintain mud properties to avoid differential sticking
Consider hole condition check trip prior to casing run,
Have water bushing available on site</t>
  </si>
  <si>
    <t>Core barrel stuck / jamming</t>
  </si>
  <si>
    <t>Control mud weight and properties
Avoid damaging products in mud
Return permeability tests if possible using
parameters from offset wells</t>
  </si>
  <si>
    <t>Minimize Differential Pressure Across Permeable Zones 
Minimize Static Time in Vulnerable Zones 
Optimize Mud System &amp; Filter Cake Quality 
Use special downhole tools to reduce contact area (spirotorqs)</t>
  </si>
  <si>
    <t>Conduct shallow hazard surveys (seismic, offset well analysis) to identify potential shallow gas zones and plan casing depths accordingly.
Set conductor and surface casing below all identified/suspected shallow gas zones with adequate cement to surface.
Install and function-test diverter system immediately after conductor, with vent lines directed to safe burn pit/flare area away from rig.
Maintain active gas detection (mud logger, pit-level sensors) from spud, with low threshold alarms for shallow formations.</t>
  </si>
  <si>
    <t>BLT-01, ADK-GT-01/02, KKP-GT-01, WSP-01, ERM-01, ALE-01, HEK-GT-01-S2</t>
  </si>
  <si>
    <t>Net Assessment Likelihood</t>
  </si>
  <si>
    <t>Net Assessment Impact</t>
  </si>
  <si>
    <t/>
  </si>
  <si>
    <t>Bit related issues : Bit balling, bit wear</t>
  </si>
  <si>
    <t>Geothermal Wells Risk Matrix - GEO4ALL - Net Assessment</t>
  </si>
  <si>
    <t>Step 4. Assess Net Ranking</t>
  </si>
  <si>
    <t>Geothermal Well Drilling Risk Register</t>
  </si>
  <si>
    <t>Geothermal Well Drilling Risk Matrix</t>
  </si>
  <si>
    <t>Key Risk Short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</si>
</sst>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 yyyy;@" x16r2:formatCode16="[$-en-150,1]d\ mmm\ yyyy;@"/>
  </numFmts>
  <fonts count="16">
    <font>
      <sz val="11"/>
      <name val="Carlito"/>
    </font>
    <font>
      <b/>
      <sz val="11"/>
      <name val="Carlito"/>
    </font>
    <font>
      <b/>
      <sz val="18"/>
      <name val="Carlito"/>
    </font>
    <font>
      <b/>
      <sz val="9"/>
      <name val="Carlito"/>
    </font>
    <font>
      <b/>
      <sz val="10"/>
      <color rgb="FFFFFFFF"/>
      <name val="Carlito"/>
    </font>
    <font>
      <sz val="9"/>
      <name val="Carlito"/>
    </font>
    <font>
      <sz val="9"/>
      <color rgb="FF0000FF"/>
      <name val="Carlito"/>
    </font>
    <font>
      <b/>
      <sz val="12"/>
      <name val="Carlito"/>
    </font>
    <font>
      <sz val="12"/>
      <name val="Carlito"/>
    </font>
    <font>
      <b/>
      <sz val="14"/>
      <name val="Carlito"/>
    </font>
    <font>
      <b/>
      <sz val="10"/>
      <name val="Carlito"/>
    </font>
    <font>
      <b/>
      <sz val="9"/>
      <color rgb="FF0000FF"/>
      <name val="Carlito"/>
    </font>
    <font>
      <b/>
      <sz val="11"/>
      <color rgb="FFFFFFFF"/>
      <name val="Carlito"/>
    </font>
    <font>
      <sz val="10"/>
      <name val="Carlito"/>
    </font>
    <font>
      <sz val="10"/>
      <color rgb="FF0000FF"/>
      <name val="Arial"/>
      <family val="2"/>
    </font>
    <font>
      <sz val="18"/>
      <name val="Carlito"/>
    </font>
  </fonts>
  <fills count="12">
    <fill>
      <patternFill patternType="none"/>
    </fill>
    <fill>
      <patternFill patternType="gray125"/>
    </fill>
    <fill>
      <patternFill patternType="solid">
        <fgColor rgb="FFFFFF00"/>
      </patternFill>
    </fill>
    <fill>
      <patternFill patternType="solid">
        <fgColor rgb="FF008000"/>
      </patternFill>
    </fill>
    <fill>
      <patternFill patternType="solid">
        <fgColor rgb="FFCCFFFF"/>
      </patternFill>
    </fill>
    <fill>
      <patternFill patternType="solid">
        <fgColor rgb="FFFFC000"/>
      </patternFill>
    </fill>
    <fill>
      <patternFill patternType="solid">
        <fgColor rgb="FF0070C0"/>
      </patternFill>
    </fill>
    <fill>
      <patternFill patternType="solid">
        <fgColor rgb="FF7030A0"/>
      </patternFill>
    </fill>
    <fill>
      <patternFill patternType="solid">
        <fgColor rgb="FFFFFFFF"/>
      </patternFill>
    </fill>
    <fill>
      <patternFill patternType="solid">
        <fgColor rgb="FF00FFFF"/>
      </patternFill>
    </fill>
    <fill>
      <patternFill patternType="solid">
        <fgColor rgb="FF70AD47"/>
      </patternFill>
    </fill>
    <fill>
      <patternFill patternType="solid">
        <fgColor rgb="FFE7E6E6"/>
      </patternFill>
    </fill>
  </fills>
  <borders count="22">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style="thin">
        <color rgb="FF80808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808080"/>
      </left>
      <right/>
      <top style="thin">
        <color indexed="64"/>
      </top>
      <bottom/>
      <diagonal/>
    </border>
    <border>
      <left/>
      <right style="thin">
        <color rgb="FF808080"/>
      </right>
      <top style="thin">
        <color indexed="64"/>
      </top>
      <bottom/>
      <diagonal/>
    </border>
    <border>
      <left style="thin">
        <color rgb="FF808080"/>
      </left>
      <right/>
      <top/>
      <bottom/>
      <diagonal/>
    </border>
    <border>
      <left/>
      <right style="thin">
        <color rgb="FF808080"/>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bottom style="thin">
        <color rgb="FF808080"/>
      </bottom>
      <diagonal/>
    </border>
  </borders>
  <cellStyleXfs count="1">
    <xf numFmtId="0" fontId="0" fillId="0" borderId="0"/>
  </cellStyleXfs>
  <cellXfs count="72">
    <xf numFmtId="0" fontId="0" fillId="0" borderId="0" xfId="0"/>
    <xf numFmtId="0" fontId="1" fillId="2" borderId="2" xfId="0" applyFont="1" applyFill="1" applyBorder="1" applyAlignment="1">
      <alignment horizontal="center" vertical="center" wrapText="1"/>
    </xf>
    <xf numFmtId="0" fontId="3" fillId="0" borderId="0" xfId="0" applyFont="1" applyAlignment="1">
      <alignment vertical="center"/>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8" fillId="4" borderId="0" xfId="0" applyFont="1" applyFill="1" applyAlignment="1">
      <alignment horizontal="center" vertical="center"/>
    </xf>
    <xf numFmtId="0" fontId="3" fillId="0" borderId="0" xfId="0" applyFont="1" applyAlignment="1">
      <alignment horizontal="left" vertical="center"/>
    </xf>
    <xf numFmtId="0" fontId="12" fillId="10" borderId="2" xfId="0" applyFont="1" applyFill="1" applyBorder="1" applyAlignment="1">
      <alignment horizontal="center" vertical="center" wrapText="1"/>
    </xf>
    <xf numFmtId="0" fontId="13" fillId="11" borderId="2" xfId="0" applyFont="1" applyFill="1" applyBorder="1" applyAlignment="1">
      <alignment vertical="center" wrapText="1"/>
    </xf>
    <xf numFmtId="0" fontId="11" fillId="7" borderId="1"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11" fillId="6" borderId="12" xfId="0" applyFont="1" applyFill="1" applyBorder="1" applyAlignment="1">
      <alignment horizontal="center" vertical="center"/>
    </xf>
    <xf numFmtId="0" fontId="11" fillId="8" borderId="13" xfId="0" applyFont="1" applyFill="1" applyBorder="1" applyAlignment="1">
      <alignment horizontal="center" vertical="center"/>
    </xf>
    <xf numFmtId="0" fontId="11" fillId="8" borderId="6" xfId="0" applyFont="1" applyFill="1" applyBorder="1" applyAlignment="1">
      <alignment horizontal="center" vertical="center"/>
    </xf>
    <xf numFmtId="0" fontId="11" fillId="8" borderId="14" xfId="0" applyFont="1" applyFill="1" applyBorder="1" applyAlignment="1">
      <alignment horizontal="center" vertical="center"/>
    </xf>
    <xf numFmtId="0" fontId="11" fillId="8" borderId="15"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16" xfId="0" applyFont="1" applyFill="1" applyBorder="1" applyAlignment="1">
      <alignment horizontal="center" vertical="center"/>
    </xf>
    <xf numFmtId="0" fontId="11" fillId="8" borderId="17" xfId="0" applyFont="1" applyFill="1" applyBorder="1" applyAlignment="1">
      <alignment horizontal="center" vertical="center"/>
    </xf>
    <xf numFmtId="0" fontId="11" fillId="8" borderId="18" xfId="0" applyFont="1" applyFill="1" applyBorder="1" applyAlignment="1">
      <alignment horizontal="center" vertical="center"/>
    </xf>
    <xf numFmtId="0" fontId="11" fillId="8" borderId="19" xfId="0" applyFont="1" applyFill="1" applyBorder="1" applyAlignment="1">
      <alignment horizontal="center" vertical="center"/>
    </xf>
    <xf numFmtId="0" fontId="14" fillId="0" borderId="20" xfId="0" applyFont="1" applyBorder="1" applyAlignment="1">
      <alignment vertical="center" wrapText="1"/>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1" fillId="9" borderId="5" xfId="0" applyFont="1" applyFill="1" applyBorder="1" applyAlignment="1">
      <alignment horizontal="center" vertical="center"/>
    </xf>
    <xf numFmtId="0" fontId="11" fillId="9" borderId="6"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8"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9" xfId="0" applyFont="1" applyFill="1" applyBorder="1" applyAlignment="1">
      <alignment horizontal="center" vertical="center"/>
    </xf>
    <xf numFmtId="0" fontId="11" fillId="9" borderId="10" xfId="0" applyFont="1" applyFill="1" applyBorder="1" applyAlignment="1">
      <alignment horizontal="center" vertical="center"/>
    </xf>
    <xf numFmtId="0" fontId="11" fillId="9" borderId="11" xfId="0" applyFont="1" applyFill="1" applyBorder="1" applyAlignment="1">
      <alignment horizontal="center" vertical="center"/>
    </xf>
    <xf numFmtId="0" fontId="11" fillId="9" borderId="12" xfId="0" applyFont="1" applyFill="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164" fontId="3" fillId="0" borderId="0" xfId="0" applyNumberFormat="1" applyFont="1" applyAlignment="1">
      <alignment vertical="center"/>
    </xf>
    <xf numFmtId="0" fontId="3" fillId="0" borderId="0" xfId="0" applyFont="1" applyAlignment="1">
      <alignment horizontal="right" vertical="center"/>
    </xf>
    <xf numFmtId="0" fontId="11" fillId="0" borderId="1" xfId="0" applyFont="1" applyBorder="1" applyAlignment="1">
      <alignment horizontal="center" vertical="center"/>
    </xf>
    <xf numFmtId="0" fontId="0" fillId="0" borderId="1" xfId="0" applyBorder="1"/>
    <xf numFmtId="0" fontId="10" fillId="0" borderId="1" xfId="0" applyFont="1" applyBorder="1" applyAlignment="1">
      <alignment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0" fillId="0" borderId="0" xfId="0"/>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0" borderId="0" xfId="0" applyFont="1" applyAlignment="1">
      <alignment horizontal="left" vertical="center"/>
    </xf>
    <xf numFmtId="0" fontId="4" fillId="3" borderId="2" xfId="0" applyFont="1" applyFill="1" applyBorder="1" applyAlignment="1">
      <alignment horizontal="center" vertical="center" wrapText="1"/>
    </xf>
    <xf numFmtId="0" fontId="0" fillId="0" borderId="18" xfId="0" applyBorder="1" applyAlignment="1">
      <alignment horizontal="left"/>
    </xf>
    <xf numFmtId="0" fontId="15" fillId="0" borderId="0" xfId="0" applyFont="1"/>
  </cellXfs>
  <cellStyles count="1">
    <cellStyle name="Normal" xfId="0" builtinId="0"/>
  </cellStyles>
  <dxfs count="3">
    <dxf>
      <font>
        <b/>
        <color rgb="FF0000FF"/>
      </font>
      <fill>
        <patternFill>
          <bgColor rgb="FFFFFFFF"/>
        </patternFill>
      </fill>
      <border>
        <left style="thin">
          <color auto="1"/>
        </left>
        <right style="thin">
          <color auto="1"/>
        </right>
        <top style="thin">
          <color auto="1"/>
        </top>
        <bottom style="thin">
          <color auto="1"/>
        </bottom>
      </border>
    </dxf>
    <dxf>
      <font>
        <b/>
        <color rgb="FF0000FF"/>
      </font>
      <fill>
        <patternFill>
          <bgColor rgb="FFFFFFFF"/>
        </patternFill>
      </fill>
      <border>
        <left style="thin">
          <color auto="1"/>
        </left>
        <right style="thin">
          <color auto="1"/>
        </right>
        <top style="thin">
          <color auto="1"/>
        </top>
        <bottom style="thin">
          <color auto="1"/>
        </bottom>
      </border>
    </dxf>
    <dxf>
      <font>
        <b/>
        <color rgb="FF0000FF"/>
      </font>
      <fill>
        <patternFill>
          <bgColor rgb="FFFFFFFF"/>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179292</xdr:colOff>
      <xdr:row>152</xdr:row>
      <xdr:rowOff>112059</xdr:rowOff>
    </xdr:from>
    <xdr:to>
      <xdr:col>34</xdr:col>
      <xdr:colOff>89646</xdr:colOff>
      <xdr:row>159</xdr:row>
      <xdr:rowOff>33620</xdr:rowOff>
    </xdr:to>
    <xdr:sp macro="" textlink="">
      <xdr:nvSpPr>
        <xdr:cNvPr id="2" name="Arrow: Up 1">
          <a:extLst>
            <a:ext uri="{FF2B5EF4-FFF2-40B4-BE49-F238E27FC236}">
              <a16:creationId xmlns:a16="http://schemas.microsoft.com/office/drawing/2014/main" id="{669D72FB-846C-2A8E-AE5D-2DDCD4D8861F}"/>
            </a:ext>
          </a:extLst>
        </xdr:cNvPr>
        <xdr:cNvSpPr/>
      </xdr:nvSpPr>
      <xdr:spPr>
        <a:xfrm rot="5400000">
          <a:off x="9631454" y="27392780"/>
          <a:ext cx="1176619" cy="5356413"/>
        </a:xfrm>
        <a:prstGeom prst="upArrow">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vert="vert270" rtlCol="0" anchor="ctr"/>
        <a:lstStyle/>
        <a:p>
          <a:pPr algn="ctr"/>
          <a:r>
            <a:rPr lang="en-GB" sz="2800"/>
            <a:t>Increasing Likelihood</a:t>
          </a:r>
        </a:p>
      </xdr:txBody>
    </xdr:sp>
    <xdr:clientData/>
  </xdr:twoCellAnchor>
  <xdr:twoCellAnchor>
    <xdr:from>
      <xdr:col>3</xdr:col>
      <xdr:colOff>202824</xdr:colOff>
      <xdr:row>155</xdr:row>
      <xdr:rowOff>158003</xdr:rowOff>
    </xdr:from>
    <xdr:to>
      <xdr:col>7</xdr:col>
      <xdr:colOff>169208</xdr:colOff>
      <xdr:row>185</xdr:row>
      <xdr:rowOff>135592</xdr:rowOff>
    </xdr:to>
    <xdr:sp macro="" textlink="">
      <xdr:nvSpPr>
        <xdr:cNvPr id="3" name="Arrow: Up 2">
          <a:extLst>
            <a:ext uri="{FF2B5EF4-FFF2-40B4-BE49-F238E27FC236}">
              <a16:creationId xmlns:a16="http://schemas.microsoft.com/office/drawing/2014/main" id="{2240C267-8525-42E5-B9BD-76D8763637D3}"/>
            </a:ext>
          </a:extLst>
        </xdr:cNvPr>
        <xdr:cNvSpPr/>
      </xdr:nvSpPr>
      <xdr:spPr>
        <a:xfrm>
          <a:off x="3631824" y="30066503"/>
          <a:ext cx="1176619" cy="5356413"/>
        </a:xfrm>
        <a:prstGeom prst="upArrow">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vert="vert270" rtlCol="0" anchor="ctr"/>
        <a:lstStyle/>
        <a:p>
          <a:pPr algn="ctr"/>
          <a:r>
            <a:rPr lang="en-GB" sz="2800"/>
            <a:t>Increasing Impact</a:t>
          </a:r>
        </a:p>
      </xdr:txBody>
    </xdr:sp>
    <xdr:clientData/>
  </xdr:twoCellAnchor>
  <xdr:twoCellAnchor>
    <xdr:from>
      <xdr:col>30</xdr:col>
      <xdr:colOff>179294</xdr:colOff>
      <xdr:row>164</xdr:row>
      <xdr:rowOff>89647</xdr:rowOff>
    </xdr:from>
    <xdr:to>
      <xdr:col>41</xdr:col>
      <xdr:colOff>123265</xdr:colOff>
      <xdr:row>176</xdr:row>
      <xdr:rowOff>11206</xdr:rowOff>
    </xdr:to>
    <xdr:sp macro="" textlink="">
      <xdr:nvSpPr>
        <xdr:cNvPr id="4" name="Callout: Up Arrow 3">
          <a:extLst>
            <a:ext uri="{FF2B5EF4-FFF2-40B4-BE49-F238E27FC236}">
              <a16:creationId xmlns:a16="http://schemas.microsoft.com/office/drawing/2014/main" id="{EC81CFE9-8082-6DF9-E4A9-6D68E55ABF92}"/>
            </a:ext>
          </a:extLst>
        </xdr:cNvPr>
        <xdr:cNvSpPr/>
      </xdr:nvSpPr>
      <xdr:spPr>
        <a:xfrm>
          <a:off x="11777382" y="31611794"/>
          <a:ext cx="3272118" cy="2073088"/>
        </a:xfrm>
        <a:prstGeom prst="upArrowCallout">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a:solidFill>
                <a:schemeClr val="accent5">
                  <a:lumMod val="75000"/>
                </a:schemeClr>
              </a:solidFill>
            </a:rPr>
            <a:t>Purple</a:t>
          </a:r>
          <a:r>
            <a:rPr lang="en-GB" sz="2800"/>
            <a:t> </a:t>
          </a:r>
          <a:r>
            <a:rPr lang="en-GB" sz="2800">
              <a:solidFill>
                <a:sysClr val="windowText" lastClr="000000"/>
              </a:solidFill>
            </a:rPr>
            <a:t>risks are the most critical risks</a:t>
          </a:r>
        </a:p>
      </xdr:txBody>
    </xdr:sp>
    <xdr:clientData/>
  </xdr:twoCellAnchor>
  <xdr:twoCellAnchor>
    <xdr:from>
      <xdr:col>8</xdr:col>
      <xdr:colOff>118782</xdr:colOff>
      <xdr:row>177</xdr:row>
      <xdr:rowOff>62752</xdr:rowOff>
    </xdr:from>
    <xdr:to>
      <xdr:col>19</xdr:col>
      <xdr:colOff>62753</xdr:colOff>
      <xdr:row>188</xdr:row>
      <xdr:rowOff>163605</xdr:rowOff>
    </xdr:to>
    <xdr:sp macro="" textlink="">
      <xdr:nvSpPr>
        <xdr:cNvPr id="5" name="Callout: Up Arrow 4">
          <a:extLst>
            <a:ext uri="{FF2B5EF4-FFF2-40B4-BE49-F238E27FC236}">
              <a16:creationId xmlns:a16="http://schemas.microsoft.com/office/drawing/2014/main" id="{726FE9C0-ECCC-4DBC-B3AA-425B8D39B95D}"/>
            </a:ext>
          </a:extLst>
        </xdr:cNvPr>
        <xdr:cNvSpPr/>
      </xdr:nvSpPr>
      <xdr:spPr>
        <a:xfrm>
          <a:off x="5060576" y="33915723"/>
          <a:ext cx="3272118" cy="2073088"/>
        </a:xfrm>
        <a:prstGeom prst="upArrowCallout">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a:t>White </a:t>
          </a:r>
          <a:r>
            <a:rPr lang="en-GB" sz="2800">
              <a:solidFill>
                <a:sysClr val="windowText" lastClr="000000"/>
              </a:solidFill>
            </a:rPr>
            <a:t>risks are the least</a:t>
          </a:r>
          <a:r>
            <a:rPr lang="en-GB" sz="2800" baseline="0">
              <a:solidFill>
                <a:sysClr val="windowText" lastClr="000000"/>
              </a:solidFill>
            </a:rPr>
            <a:t> important</a:t>
          </a:r>
          <a:r>
            <a:rPr lang="en-GB" sz="2800">
              <a:solidFill>
                <a:sysClr val="windowText" lastClr="000000"/>
              </a:solidFill>
            </a:rPr>
            <a:t> risks</a:t>
          </a:r>
        </a:p>
      </xdr:txBody>
    </xdr:sp>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6"/>
  <sheetViews>
    <sheetView tabSelected="1" workbookViewId="0">
      <selection activeCell="A2" sqref="A2"/>
    </sheetView>
  </sheetViews>
  <sheetFormatPr defaultRowHeight="14.25"/>
  <cols>
    <col min="1" max="1" width="6.25" bestFit="1" customWidth="1"/>
    <col min="2" max="2" width="27.875" bestFit="1" customWidth="1"/>
    <col min="3" max="3" width="25" customWidth="1"/>
    <col min="4" max="4" width="16" bestFit="1" customWidth="1"/>
    <col min="5" max="5" width="19" customWidth="1"/>
    <col min="6" max="6" width="9.75" customWidth="1"/>
    <col min="7" max="7" width="12" customWidth="1"/>
    <col min="8" max="8" width="10" customWidth="1"/>
    <col min="9" max="9" width="51.625" customWidth="1"/>
    <col min="10" max="10" width="17.125" customWidth="1"/>
    <col min="11" max="11" width="48" customWidth="1"/>
    <col min="12" max="14" width="12" customWidth="1"/>
    <col min="15" max="18" width="4" hidden="1" customWidth="1"/>
    <col min="19" max="19" width="0" hidden="1" customWidth="1"/>
  </cols>
  <sheetData>
    <row r="1" spans="1:18" ht="23.25">
      <c r="A1" s="68" t="s">
        <v>178</v>
      </c>
      <c r="B1" s="64"/>
      <c r="C1" s="64"/>
      <c r="D1" s="64"/>
      <c r="E1" s="64"/>
      <c r="F1" s="64"/>
      <c r="G1" s="64"/>
      <c r="H1" s="64"/>
      <c r="I1" s="64"/>
      <c r="J1" s="64"/>
      <c r="K1" s="64"/>
      <c r="L1" s="64"/>
      <c r="M1" s="64"/>
    </row>
    <row r="2" spans="1:18">
      <c r="A2" s="52" t="s">
        <v>0</v>
      </c>
      <c r="B2" s="2" t="s">
        <v>1</v>
      </c>
      <c r="C2" s="2"/>
      <c r="D2" s="2" t="s">
        <v>2</v>
      </c>
      <c r="E2" s="2" t="s">
        <v>3</v>
      </c>
      <c r="F2" s="2"/>
      <c r="G2" s="52"/>
      <c r="H2" s="2"/>
      <c r="I2" s="2"/>
      <c r="J2" s="2"/>
      <c r="K2" s="52" t="s">
        <v>4</v>
      </c>
      <c r="L2" s="51">
        <v>46196</v>
      </c>
    </row>
    <row r="3" spans="1:18">
      <c r="E3" t="s">
        <v>148</v>
      </c>
      <c r="F3" s="70" t="s">
        <v>171</v>
      </c>
      <c r="G3" s="70"/>
      <c r="H3" s="70"/>
      <c r="I3" s="70"/>
      <c r="J3" s="70"/>
    </row>
    <row r="4" spans="1:18" ht="26.25" customHeight="1">
      <c r="A4" s="69" t="s">
        <v>5</v>
      </c>
      <c r="B4" s="69"/>
      <c r="C4" s="69"/>
      <c r="D4" s="69"/>
      <c r="E4" s="69"/>
      <c r="F4" s="69"/>
      <c r="G4" s="69" t="s">
        <v>6</v>
      </c>
      <c r="H4" s="69"/>
      <c r="I4" s="69" t="s">
        <v>7</v>
      </c>
      <c r="J4" s="69"/>
      <c r="K4" s="69"/>
      <c r="L4" s="69" t="s">
        <v>177</v>
      </c>
      <c r="M4" s="69"/>
      <c r="N4" s="48"/>
    </row>
    <row r="5" spans="1:18">
      <c r="A5" s="65" t="s">
        <v>8</v>
      </c>
      <c r="B5" s="65" t="s">
        <v>9</v>
      </c>
      <c r="C5" s="65" t="s">
        <v>10</v>
      </c>
      <c r="D5" s="65" t="s">
        <v>11</v>
      </c>
      <c r="E5" s="65" t="s">
        <v>12</v>
      </c>
      <c r="F5" s="65" t="s">
        <v>13</v>
      </c>
      <c r="G5" s="65" t="s">
        <v>14</v>
      </c>
      <c r="H5" s="65"/>
      <c r="I5" s="65" t="s">
        <v>120</v>
      </c>
      <c r="J5" s="66" t="s">
        <v>121</v>
      </c>
      <c r="K5" s="65" t="s">
        <v>15</v>
      </c>
      <c r="L5" s="65" t="s">
        <v>16</v>
      </c>
      <c r="M5" s="65"/>
      <c r="N5" s="49"/>
      <c r="O5" t="s">
        <v>45</v>
      </c>
    </row>
    <row r="6" spans="1:18" ht="36">
      <c r="A6" s="65"/>
      <c r="B6" s="65"/>
      <c r="C6" s="65"/>
      <c r="D6" s="65"/>
      <c r="E6" s="65"/>
      <c r="F6" s="65"/>
      <c r="G6" s="3" t="s">
        <v>17</v>
      </c>
      <c r="H6" s="4" t="s">
        <v>18</v>
      </c>
      <c r="I6" s="65"/>
      <c r="J6" s="67"/>
      <c r="K6" s="65"/>
      <c r="L6" s="3" t="s">
        <v>19</v>
      </c>
      <c r="M6" s="4" t="s">
        <v>20</v>
      </c>
      <c r="N6" s="49"/>
      <c r="O6" t="s">
        <v>46</v>
      </c>
      <c r="P6" t="s">
        <v>47</v>
      </c>
      <c r="Q6" t="s">
        <v>48</v>
      </c>
      <c r="R6" t="s">
        <v>49</v>
      </c>
    </row>
    <row r="7" spans="1:18" ht="264">
      <c r="A7" s="5">
        <v>1</v>
      </c>
      <c r="B7" s="6" t="s">
        <v>21</v>
      </c>
      <c r="C7" s="6" t="s">
        <v>149</v>
      </c>
      <c r="D7" s="6" t="s">
        <v>22</v>
      </c>
      <c r="E7" s="6" t="s">
        <v>23</v>
      </c>
      <c r="F7" s="5"/>
      <c r="G7" s="5">
        <v>5</v>
      </c>
      <c r="H7" s="5" t="s">
        <v>30</v>
      </c>
      <c r="I7" s="6" t="s">
        <v>130</v>
      </c>
      <c r="J7" s="6" t="s">
        <v>131</v>
      </c>
      <c r="K7" s="6" t="s">
        <v>108</v>
      </c>
      <c r="L7" s="5">
        <v>4</v>
      </c>
      <c r="M7" s="5" t="s">
        <v>31</v>
      </c>
      <c r="N7" s="50"/>
      <c r="O7">
        <f>IF($A7="","",IF('Risk Matrix'!$B$3="Worst Credible",$G7,$L7))</f>
        <v>4</v>
      </c>
      <c r="P7" t="str">
        <f>IF($A7="","",IF('Risk Matrix'!$B$3="Worst Credible",$H7,$M7))</f>
        <v>D</v>
      </c>
      <c r="Q7">
        <f>IF($A7="","",COUNTIFS($O$7:O7,O7,$P$7:P7,P7))</f>
        <v>1</v>
      </c>
      <c r="R7" t="str">
        <f t="shared" ref="R7:R69" si="0">IF($A7="","",O7&amp;"|"&amp;P7&amp;"|"&amp;Q7)</f>
        <v>4|D|1</v>
      </c>
    </row>
    <row r="8" spans="1:18" ht="36">
      <c r="A8" s="5">
        <v>2</v>
      </c>
      <c r="B8" s="30" t="s">
        <v>50</v>
      </c>
      <c r="C8" s="30" t="s">
        <v>51</v>
      </c>
      <c r="D8" s="30" t="s">
        <v>52</v>
      </c>
      <c r="E8" s="30" t="s">
        <v>23</v>
      </c>
      <c r="F8" s="30"/>
      <c r="G8" s="5">
        <v>2</v>
      </c>
      <c r="H8" s="5" t="s">
        <v>31</v>
      </c>
      <c r="I8" s="6"/>
      <c r="J8" s="6"/>
      <c r="K8" s="6" t="s">
        <v>150</v>
      </c>
      <c r="L8" s="5">
        <v>1</v>
      </c>
      <c r="M8" s="5" t="s">
        <v>32</v>
      </c>
      <c r="N8" s="50"/>
      <c r="O8">
        <f>IF($A8="","",IF('Risk Matrix'!$B$3="Worst Credible",$G8,$L8))</f>
        <v>1</v>
      </c>
      <c r="P8" t="str">
        <f>IF($A8="","",IF('Risk Matrix'!$B$3="Worst Credible",$H8,$M8))</f>
        <v>E</v>
      </c>
      <c r="Q8">
        <f>IF($A8="","",COUNTIFS($O$7:O8,O8,$P$7:P8,P8))</f>
        <v>1</v>
      </c>
      <c r="R8" t="str">
        <f t="shared" si="0"/>
        <v>1|E|1</v>
      </c>
    </row>
    <row r="9" spans="1:18" ht="84">
      <c r="A9" s="5">
        <v>3</v>
      </c>
      <c r="B9" s="6" t="s">
        <v>53</v>
      </c>
      <c r="C9" s="6" t="s">
        <v>136</v>
      </c>
      <c r="D9" s="6" t="s">
        <v>52</v>
      </c>
      <c r="E9" s="6" t="s">
        <v>54</v>
      </c>
      <c r="F9" s="5"/>
      <c r="G9" s="5">
        <v>4</v>
      </c>
      <c r="H9" s="5" t="s">
        <v>32</v>
      </c>
      <c r="I9" s="6"/>
      <c r="J9" s="6"/>
      <c r="K9" s="6" t="s">
        <v>151</v>
      </c>
      <c r="L9" s="5">
        <v>2</v>
      </c>
      <c r="M9" s="5" t="s">
        <v>33</v>
      </c>
      <c r="N9" s="50"/>
      <c r="O9">
        <f>IF($A9="","",IF('Risk Matrix'!$B$3="Worst Credible",$G9,$L9))</f>
        <v>2</v>
      </c>
      <c r="P9" t="str">
        <f>IF($A9="","",IF('Risk Matrix'!$B$3="Worst Credible",$H9,$M9))</f>
        <v>F</v>
      </c>
      <c r="Q9">
        <f>IF($A9="","",COUNTIFS($O$7:O9,O9,$P$7:P9,P9))</f>
        <v>1</v>
      </c>
      <c r="R9" t="str">
        <f t="shared" si="0"/>
        <v>2|F|1</v>
      </c>
    </row>
    <row r="10" spans="1:18" ht="96">
      <c r="A10" s="5">
        <v>4</v>
      </c>
      <c r="B10" s="6" t="s">
        <v>55</v>
      </c>
      <c r="C10" s="6" t="s">
        <v>141</v>
      </c>
      <c r="D10" s="6" t="s">
        <v>52</v>
      </c>
      <c r="E10" s="6" t="s">
        <v>23</v>
      </c>
      <c r="F10" s="5"/>
      <c r="G10" s="5">
        <v>5</v>
      </c>
      <c r="H10" s="5" t="s">
        <v>31</v>
      </c>
      <c r="I10" s="6" t="s">
        <v>140</v>
      </c>
      <c r="J10" s="6" t="s">
        <v>152</v>
      </c>
      <c r="K10" s="6" t="s">
        <v>109</v>
      </c>
      <c r="L10" s="5">
        <v>4</v>
      </c>
      <c r="M10" s="5" t="s">
        <v>32</v>
      </c>
      <c r="N10" s="50"/>
      <c r="O10">
        <f>IF($A10="","",IF('Risk Matrix'!$B$3="Worst Credible",$G10,$L10))</f>
        <v>4</v>
      </c>
      <c r="P10" t="str">
        <f>IF($A10="","",IF('Risk Matrix'!$B$3="Worst Credible",$H10,$M10))</f>
        <v>E</v>
      </c>
      <c r="Q10">
        <f>IF($A10="","",COUNTIFS($O$7:O10,O10,$P$7:P10,P10))</f>
        <v>1</v>
      </c>
      <c r="R10" t="str">
        <f t="shared" si="0"/>
        <v>4|E|1</v>
      </c>
    </row>
    <row r="11" spans="1:18" ht="84">
      <c r="A11" s="5">
        <v>5</v>
      </c>
      <c r="B11" s="6" t="s">
        <v>56</v>
      </c>
      <c r="C11" s="6" t="s">
        <v>57</v>
      </c>
      <c r="D11" s="6" t="s">
        <v>22</v>
      </c>
      <c r="E11" s="6" t="s">
        <v>54</v>
      </c>
      <c r="F11" s="5"/>
      <c r="G11" s="5">
        <v>5</v>
      </c>
      <c r="H11" s="5" t="s">
        <v>30</v>
      </c>
      <c r="I11" s="6" t="s">
        <v>129</v>
      </c>
      <c r="J11" s="6" t="s">
        <v>144</v>
      </c>
      <c r="K11" s="6" t="s">
        <v>154</v>
      </c>
      <c r="L11" s="5">
        <v>4</v>
      </c>
      <c r="M11" s="5" t="s">
        <v>32</v>
      </c>
      <c r="N11" s="50"/>
      <c r="O11">
        <f>IF($A11="","",IF('Risk Matrix'!$B$3="Worst Credible",$G11,$L11))</f>
        <v>4</v>
      </c>
      <c r="P11" t="str">
        <f>IF($A11="","",IF('Risk Matrix'!$B$3="Worst Credible",$H11,$M11))</f>
        <v>E</v>
      </c>
      <c r="Q11">
        <f>IF($A11="","",COUNTIFS($O$7:O11,O11,$P$7:P11,P11))</f>
        <v>2</v>
      </c>
      <c r="R11" t="str">
        <f t="shared" si="0"/>
        <v>4|E|2</v>
      </c>
    </row>
    <row r="12" spans="1:18" ht="48">
      <c r="A12" s="5">
        <v>6</v>
      </c>
      <c r="B12" s="6" t="s">
        <v>58</v>
      </c>
      <c r="C12" s="6" t="s">
        <v>59</v>
      </c>
      <c r="D12" s="6" t="s">
        <v>22</v>
      </c>
      <c r="E12" s="6" t="s">
        <v>54</v>
      </c>
      <c r="F12" s="5"/>
      <c r="G12" s="5">
        <v>5</v>
      </c>
      <c r="H12" s="5" t="s">
        <v>32</v>
      </c>
      <c r="I12" s="6"/>
      <c r="J12" s="6"/>
      <c r="K12" s="6" t="s">
        <v>153</v>
      </c>
      <c r="L12" s="5">
        <v>4</v>
      </c>
      <c r="M12" s="5" t="s">
        <v>34</v>
      </c>
      <c r="N12" s="50"/>
      <c r="O12">
        <f>IF($A12="","",IF('Risk Matrix'!$B$3="Worst Credible",$G12,$L12))</f>
        <v>4</v>
      </c>
      <c r="P12" t="str">
        <f>IF($A12="","",IF('Risk Matrix'!$B$3="Worst Credible",$H12,$M12))</f>
        <v>G</v>
      </c>
      <c r="Q12">
        <f>IF($A12="","",COUNTIFS($O$7:O12,O12,$P$7:P12,P12))</f>
        <v>1</v>
      </c>
      <c r="R12" t="str">
        <f t="shared" si="0"/>
        <v>4|G|1</v>
      </c>
    </row>
    <row r="13" spans="1:18" ht="96">
      <c r="A13" s="5">
        <v>7</v>
      </c>
      <c r="B13" s="6" t="s">
        <v>60</v>
      </c>
      <c r="C13" s="6" t="s">
        <v>61</v>
      </c>
      <c r="D13" s="6" t="s">
        <v>22</v>
      </c>
      <c r="E13" s="6" t="s">
        <v>23</v>
      </c>
      <c r="F13" s="5"/>
      <c r="G13" s="5">
        <v>4</v>
      </c>
      <c r="H13" s="5" t="s">
        <v>31</v>
      </c>
      <c r="I13" s="6"/>
      <c r="J13" s="6"/>
      <c r="K13" s="6" t="s">
        <v>110</v>
      </c>
      <c r="L13" s="5">
        <v>3</v>
      </c>
      <c r="M13" s="5" t="s">
        <v>32</v>
      </c>
      <c r="N13" s="50"/>
      <c r="O13">
        <f>IF($A13="","",IF('Risk Matrix'!$B$3="Worst Credible",$G13,$L13))</f>
        <v>3</v>
      </c>
      <c r="P13" t="str">
        <f>IF($A13="","",IF('Risk Matrix'!$B$3="Worst Credible",$H13,$M13))</f>
        <v>E</v>
      </c>
      <c r="Q13">
        <f>IF($A13="","",COUNTIFS($O$7:O13,O13,$P$7:P13,P13))</f>
        <v>1</v>
      </c>
      <c r="R13" t="str">
        <f t="shared" si="0"/>
        <v>3|E|1</v>
      </c>
    </row>
    <row r="14" spans="1:18" ht="60">
      <c r="A14" s="5">
        <v>8</v>
      </c>
      <c r="B14" s="6" t="s">
        <v>62</v>
      </c>
      <c r="C14" s="6" t="s">
        <v>137</v>
      </c>
      <c r="D14" s="6" t="s">
        <v>22</v>
      </c>
      <c r="E14" s="6" t="s">
        <v>23</v>
      </c>
      <c r="F14" s="5"/>
      <c r="G14" s="5">
        <v>4</v>
      </c>
      <c r="H14" s="5" t="s">
        <v>32</v>
      </c>
      <c r="I14" s="6" t="s">
        <v>138</v>
      </c>
      <c r="J14" s="6" t="s">
        <v>139</v>
      </c>
      <c r="K14" s="6" t="s">
        <v>111</v>
      </c>
      <c r="L14" s="5">
        <v>3</v>
      </c>
      <c r="M14" s="5" t="s">
        <v>33</v>
      </c>
      <c r="N14" s="50"/>
      <c r="O14">
        <f>IF($A14="","",IF('Risk Matrix'!$B$3="Worst Credible",$G14,$L14))</f>
        <v>3</v>
      </c>
      <c r="P14" t="str">
        <f>IF($A14="","",IF('Risk Matrix'!$B$3="Worst Credible",$H14,$M14))</f>
        <v>F</v>
      </c>
      <c r="Q14">
        <f>IF($A14="","",COUNTIFS($O$7:O14,O14,$P$7:P14,P14))</f>
        <v>1</v>
      </c>
      <c r="R14" t="str">
        <f t="shared" si="0"/>
        <v>3|F|1</v>
      </c>
    </row>
    <row r="15" spans="1:18" ht="60">
      <c r="A15" s="5">
        <v>9</v>
      </c>
      <c r="B15" s="6" t="s">
        <v>63</v>
      </c>
      <c r="C15" s="6" t="s">
        <v>64</v>
      </c>
      <c r="D15" s="6" t="s">
        <v>22</v>
      </c>
      <c r="E15" s="6" t="s">
        <v>23</v>
      </c>
      <c r="F15" s="5"/>
      <c r="G15" s="5">
        <v>2</v>
      </c>
      <c r="H15" s="5" t="s">
        <v>31</v>
      </c>
      <c r="I15" s="6"/>
      <c r="J15" s="6"/>
      <c r="K15" s="6" t="s">
        <v>155</v>
      </c>
      <c r="L15" s="5">
        <v>1</v>
      </c>
      <c r="M15" s="5" t="s">
        <v>33</v>
      </c>
      <c r="N15" s="50"/>
      <c r="O15">
        <f>IF($A15="","",IF('Risk Matrix'!$B$3="Worst Credible",$G15,$L15))</f>
        <v>1</v>
      </c>
      <c r="P15" t="str">
        <f>IF($A15="","",IF('Risk Matrix'!$B$3="Worst Credible",$H15,$M15))</f>
        <v>F</v>
      </c>
      <c r="Q15">
        <f>IF($A15="","",COUNTIFS($O$7:O15,O15,$P$7:P15,P15))</f>
        <v>1</v>
      </c>
      <c r="R15" t="str">
        <f t="shared" si="0"/>
        <v>1|F|1</v>
      </c>
    </row>
    <row r="16" spans="1:18" ht="72">
      <c r="A16" s="5">
        <v>10</v>
      </c>
      <c r="B16" s="6" t="s">
        <v>65</v>
      </c>
      <c r="C16" s="6" t="s">
        <v>66</v>
      </c>
      <c r="D16" s="6" t="s">
        <v>22</v>
      </c>
      <c r="E16" s="6" t="s">
        <v>23</v>
      </c>
      <c r="F16" s="5"/>
      <c r="G16" s="5">
        <v>5</v>
      </c>
      <c r="H16" s="5" t="s">
        <v>28</v>
      </c>
      <c r="I16" s="6"/>
      <c r="J16" s="6"/>
      <c r="K16" s="6" t="s">
        <v>156</v>
      </c>
      <c r="L16" s="5">
        <v>4</v>
      </c>
      <c r="M16" s="5" t="s">
        <v>30</v>
      </c>
      <c r="N16" s="50"/>
      <c r="O16">
        <f>IF($A16="","",IF('Risk Matrix'!$B$3="Worst Credible",$G16,$L16))</f>
        <v>4</v>
      </c>
      <c r="P16" t="str">
        <f>IF($A16="","",IF('Risk Matrix'!$B$3="Worst Credible",$H16,$M16))</f>
        <v>C</v>
      </c>
      <c r="Q16">
        <f>IF($A16="","",COUNTIFS($O$7:O16,O16,$P$7:P16,P16))</f>
        <v>1</v>
      </c>
      <c r="R16" t="str">
        <f t="shared" si="0"/>
        <v>4|C|1</v>
      </c>
    </row>
    <row r="17" spans="1:18" ht="48">
      <c r="A17" s="5">
        <v>11</v>
      </c>
      <c r="B17" s="6" t="s">
        <v>67</v>
      </c>
      <c r="C17" s="6" t="s">
        <v>68</v>
      </c>
      <c r="D17" s="6" t="s">
        <v>22</v>
      </c>
      <c r="E17" s="6" t="s">
        <v>23</v>
      </c>
      <c r="F17" s="5"/>
      <c r="G17" s="5">
        <v>2</v>
      </c>
      <c r="H17" s="5" t="s">
        <v>30</v>
      </c>
      <c r="I17" s="6"/>
      <c r="J17" s="6"/>
      <c r="K17" s="6" t="s">
        <v>157</v>
      </c>
      <c r="L17" s="5">
        <v>1</v>
      </c>
      <c r="M17" s="5" t="s">
        <v>31</v>
      </c>
      <c r="N17" s="50"/>
      <c r="O17">
        <f>IF($A17="","",IF('Risk Matrix'!$B$3="Worst Credible",$G17,$L17))</f>
        <v>1</v>
      </c>
      <c r="P17" t="str">
        <f>IF($A17="","",IF('Risk Matrix'!$B$3="Worst Credible",$H17,$M17))</f>
        <v>D</v>
      </c>
      <c r="Q17">
        <f>IF($A17="","",COUNTIFS($O$7:O17,O17,$P$7:P17,P17))</f>
        <v>1</v>
      </c>
      <c r="R17" t="str">
        <f t="shared" si="0"/>
        <v>1|D|1</v>
      </c>
    </row>
    <row r="18" spans="1:18" ht="60">
      <c r="A18" s="5">
        <v>12</v>
      </c>
      <c r="B18" s="6" t="s">
        <v>69</v>
      </c>
      <c r="C18" s="6" t="s">
        <v>70</v>
      </c>
      <c r="D18" s="6" t="s">
        <v>22</v>
      </c>
      <c r="E18" s="6" t="s">
        <v>23</v>
      </c>
      <c r="F18" s="5"/>
      <c r="G18" s="5">
        <v>4</v>
      </c>
      <c r="H18" s="5" t="s">
        <v>30</v>
      </c>
      <c r="I18" s="6"/>
      <c r="J18" s="6"/>
      <c r="K18" s="6" t="s">
        <v>158</v>
      </c>
      <c r="L18" s="5">
        <v>3</v>
      </c>
      <c r="M18" s="5" t="s">
        <v>31</v>
      </c>
      <c r="N18" s="50"/>
      <c r="O18">
        <f>IF($A18="","",IF('Risk Matrix'!$B$3="Worst Credible",$G18,$L18))</f>
        <v>3</v>
      </c>
      <c r="P18" t="str">
        <f>IF($A18="","",IF('Risk Matrix'!$B$3="Worst Credible",$H18,$M18))</f>
        <v>D</v>
      </c>
      <c r="Q18">
        <f>IF($A18="","",COUNTIFS($O$7:O18,O18,$P$7:P18,P18))</f>
        <v>1</v>
      </c>
      <c r="R18" t="str">
        <f t="shared" si="0"/>
        <v>3|D|1</v>
      </c>
    </row>
    <row r="19" spans="1:18" ht="60">
      <c r="A19" s="5">
        <v>13</v>
      </c>
      <c r="B19" s="6" t="s">
        <v>71</v>
      </c>
      <c r="C19" s="6" t="s">
        <v>72</v>
      </c>
      <c r="D19" s="6" t="s">
        <v>22</v>
      </c>
      <c r="E19" s="6" t="s">
        <v>23</v>
      </c>
      <c r="F19" s="5"/>
      <c r="G19" s="5">
        <v>2</v>
      </c>
      <c r="H19" s="5" t="s">
        <v>31</v>
      </c>
      <c r="I19" s="6"/>
      <c r="J19" s="6"/>
      <c r="K19" s="6" t="s">
        <v>159</v>
      </c>
      <c r="L19" s="5">
        <v>1</v>
      </c>
      <c r="M19" s="5" t="s">
        <v>32</v>
      </c>
      <c r="N19" s="50"/>
      <c r="O19">
        <f>IF($A19="","",IF('Risk Matrix'!$B$3="Worst Credible",$G19,$L19))</f>
        <v>1</v>
      </c>
      <c r="P19" t="str">
        <f>IF($A19="","",IF('Risk Matrix'!$B$3="Worst Credible",$H19,$M19))</f>
        <v>E</v>
      </c>
      <c r="Q19">
        <f>IF($A19="","",COUNTIFS($O$7:O19,O19,$P$7:P19,P19))</f>
        <v>2</v>
      </c>
      <c r="R19" t="str">
        <f t="shared" si="0"/>
        <v>1|E|2</v>
      </c>
    </row>
    <row r="20" spans="1:18" ht="60">
      <c r="A20" s="5">
        <v>14</v>
      </c>
      <c r="B20" s="6" t="s">
        <v>73</v>
      </c>
      <c r="C20" s="6" t="s">
        <v>74</v>
      </c>
      <c r="D20" s="6" t="s">
        <v>22</v>
      </c>
      <c r="E20" s="6" t="s">
        <v>23</v>
      </c>
      <c r="F20" s="5"/>
      <c r="G20" s="5">
        <v>2</v>
      </c>
      <c r="H20" s="5" t="s">
        <v>32</v>
      </c>
      <c r="I20" s="6"/>
      <c r="J20" s="6"/>
      <c r="K20" s="6" t="s">
        <v>160</v>
      </c>
      <c r="L20" s="5">
        <v>1</v>
      </c>
      <c r="M20" s="5" t="s">
        <v>33</v>
      </c>
      <c r="N20" s="50"/>
      <c r="O20">
        <f>IF($A20="","",IF('Risk Matrix'!$B$3="Worst Credible",$G20,$L20))</f>
        <v>1</v>
      </c>
      <c r="P20" t="str">
        <f>IF($A20="","",IF('Risk Matrix'!$B$3="Worst Credible",$H20,$M20))</f>
        <v>F</v>
      </c>
      <c r="Q20">
        <f>IF($A20="","",COUNTIFS($O$7:O20,O20,$P$7:P20,P20))</f>
        <v>2</v>
      </c>
      <c r="R20" t="str">
        <f t="shared" si="0"/>
        <v>1|F|2</v>
      </c>
    </row>
    <row r="21" spans="1:18" ht="48">
      <c r="A21" s="5">
        <v>15</v>
      </c>
      <c r="B21" s="6" t="s">
        <v>75</v>
      </c>
      <c r="C21" s="6" t="s">
        <v>76</v>
      </c>
      <c r="D21" s="6" t="s">
        <v>22</v>
      </c>
      <c r="E21" s="6" t="s">
        <v>23</v>
      </c>
      <c r="F21" s="5"/>
      <c r="G21" s="5">
        <v>5</v>
      </c>
      <c r="H21" s="5" t="s">
        <v>30</v>
      </c>
      <c r="I21" s="6"/>
      <c r="J21" s="6"/>
      <c r="K21" s="6" t="s">
        <v>169</v>
      </c>
      <c r="L21" s="5">
        <v>5</v>
      </c>
      <c r="M21" s="5" t="s">
        <v>31</v>
      </c>
      <c r="N21" s="50"/>
      <c r="O21">
        <f>IF($A21="","",IF('Risk Matrix'!$B$3="Worst Credible",$G21,$L21))</f>
        <v>5</v>
      </c>
      <c r="P21" t="str">
        <f>IF($A21="","",IF('Risk Matrix'!$B$3="Worst Credible",$H21,$M21))</f>
        <v>D</v>
      </c>
      <c r="Q21">
        <f>IF($A21="","",COUNTIFS($O$7:O21,O21,$P$7:P21,P21))</f>
        <v>1</v>
      </c>
      <c r="R21" t="str">
        <f t="shared" si="0"/>
        <v>5|D|1</v>
      </c>
    </row>
    <row r="22" spans="1:18" ht="120">
      <c r="A22" s="5">
        <v>16</v>
      </c>
      <c r="B22" s="6" t="s">
        <v>77</v>
      </c>
      <c r="C22" s="6" t="s">
        <v>78</v>
      </c>
      <c r="D22" s="6" t="s">
        <v>22</v>
      </c>
      <c r="E22" s="6" t="s">
        <v>54</v>
      </c>
      <c r="F22" s="5"/>
      <c r="G22" s="5">
        <v>2</v>
      </c>
      <c r="H22" s="5" t="s">
        <v>29</v>
      </c>
      <c r="I22" s="6"/>
      <c r="J22" s="6"/>
      <c r="K22" s="6" t="s">
        <v>170</v>
      </c>
      <c r="L22" s="5">
        <v>2</v>
      </c>
      <c r="M22" s="5" t="s">
        <v>30</v>
      </c>
      <c r="N22" s="50"/>
      <c r="O22">
        <f>IF($A22="","",IF('Risk Matrix'!$B$3="Worst Credible",$G22,$L22))</f>
        <v>2</v>
      </c>
      <c r="P22" t="str">
        <f>IF($A22="","",IF('Risk Matrix'!$B$3="Worst Credible",$H22,$M22))</f>
        <v>C</v>
      </c>
      <c r="Q22">
        <f>IF($A22="","",COUNTIFS($O$7:O22,O22,$P$7:P22,P22))</f>
        <v>1</v>
      </c>
      <c r="R22" t="str">
        <f t="shared" si="0"/>
        <v>2|C|1</v>
      </c>
    </row>
    <row r="23" spans="1:18" ht="60">
      <c r="A23" s="5">
        <v>17</v>
      </c>
      <c r="B23" s="6" t="s">
        <v>79</v>
      </c>
      <c r="C23" s="6" t="s">
        <v>80</v>
      </c>
      <c r="D23" s="6" t="s">
        <v>22</v>
      </c>
      <c r="E23" s="6" t="s">
        <v>23</v>
      </c>
      <c r="F23" s="5"/>
      <c r="G23" s="5">
        <v>3</v>
      </c>
      <c r="H23" s="5" t="s">
        <v>33</v>
      </c>
      <c r="I23" s="6"/>
      <c r="J23" s="6"/>
      <c r="K23" s="6" t="s">
        <v>161</v>
      </c>
      <c r="L23" s="5">
        <v>2</v>
      </c>
      <c r="M23" s="5" t="s">
        <v>34</v>
      </c>
      <c r="N23" s="50"/>
      <c r="O23">
        <f>IF($A23="","",IF('Risk Matrix'!$B$3="Worst Credible",$G23,$L23))</f>
        <v>2</v>
      </c>
      <c r="P23" t="str">
        <f>IF($A23="","",IF('Risk Matrix'!$B$3="Worst Credible",$H23,$M23))</f>
        <v>G</v>
      </c>
      <c r="Q23">
        <f>IF($A23="","",COUNTIFS($O$7:O23,O23,$P$7:P23,P23))</f>
        <v>1</v>
      </c>
      <c r="R23" t="str">
        <f t="shared" si="0"/>
        <v>2|G|1</v>
      </c>
    </row>
    <row r="24" spans="1:18" ht="60">
      <c r="A24" s="5">
        <v>18</v>
      </c>
      <c r="B24" s="6" t="s">
        <v>81</v>
      </c>
      <c r="C24" s="6" t="s">
        <v>82</v>
      </c>
      <c r="D24" s="6" t="s">
        <v>22</v>
      </c>
      <c r="E24" s="6" t="s">
        <v>54</v>
      </c>
      <c r="F24" s="5"/>
      <c r="G24" s="5">
        <v>2</v>
      </c>
      <c r="H24" s="5" t="s">
        <v>32</v>
      </c>
      <c r="I24" s="6"/>
      <c r="J24" s="6"/>
      <c r="K24" s="6" t="s">
        <v>162</v>
      </c>
      <c r="L24" s="5">
        <v>2</v>
      </c>
      <c r="M24" s="5" t="s">
        <v>34</v>
      </c>
      <c r="N24" s="50"/>
      <c r="O24">
        <f>IF($A24="","",IF('Risk Matrix'!$B$3="Worst Credible",$G24,$L24))</f>
        <v>2</v>
      </c>
      <c r="P24" t="str">
        <f>IF($A24="","",IF('Risk Matrix'!$B$3="Worst Credible",$H24,$M24))</f>
        <v>G</v>
      </c>
      <c r="Q24">
        <f>IF($A24="","",COUNTIFS($O$7:O24,O24,$P$7:P24,P24))</f>
        <v>2</v>
      </c>
      <c r="R24" t="str">
        <f t="shared" si="0"/>
        <v>2|G|2</v>
      </c>
    </row>
    <row r="25" spans="1:18" ht="48">
      <c r="A25" s="5">
        <v>19</v>
      </c>
      <c r="B25" s="6" t="s">
        <v>83</v>
      </c>
      <c r="C25" s="6" t="s">
        <v>84</v>
      </c>
      <c r="D25" s="6" t="s">
        <v>22</v>
      </c>
      <c r="E25" s="6" t="s">
        <v>54</v>
      </c>
      <c r="F25" s="5"/>
      <c r="G25" s="5">
        <v>3</v>
      </c>
      <c r="H25" s="5" t="s">
        <v>29</v>
      </c>
      <c r="I25" s="6"/>
      <c r="J25" s="6"/>
      <c r="K25" s="6" t="s">
        <v>163</v>
      </c>
      <c r="L25" s="5">
        <v>2</v>
      </c>
      <c r="M25" s="5" t="s">
        <v>30</v>
      </c>
      <c r="N25" s="50"/>
      <c r="O25">
        <f>IF($A25="","",IF('Risk Matrix'!$B$3="Worst Credible",$G25,$L25))</f>
        <v>2</v>
      </c>
      <c r="P25" t="str">
        <f>IF($A25="","",IF('Risk Matrix'!$B$3="Worst Credible",$H25,$M25))</f>
        <v>C</v>
      </c>
      <c r="Q25">
        <f>IF($A25="","",COUNTIFS($O$7:O25,O25,$P$7:P25,P25))</f>
        <v>2</v>
      </c>
      <c r="R25" t="str">
        <f t="shared" si="0"/>
        <v>2|C|2</v>
      </c>
    </row>
    <row r="26" spans="1:18" ht="48">
      <c r="A26" s="5">
        <v>20</v>
      </c>
      <c r="B26" s="6" t="s">
        <v>85</v>
      </c>
      <c r="C26" s="6" t="s">
        <v>86</v>
      </c>
      <c r="D26" s="6" t="s">
        <v>22</v>
      </c>
      <c r="E26" s="6" t="s">
        <v>54</v>
      </c>
      <c r="F26" s="5"/>
      <c r="G26" s="5">
        <v>3</v>
      </c>
      <c r="H26" s="5" t="s">
        <v>33</v>
      </c>
      <c r="I26" s="6"/>
      <c r="J26" s="6"/>
      <c r="K26" s="6" t="s">
        <v>112</v>
      </c>
      <c r="L26" s="5">
        <v>2</v>
      </c>
      <c r="M26" s="5" t="s">
        <v>24</v>
      </c>
      <c r="N26" s="50"/>
      <c r="O26">
        <f>IF($A26="","",IF('Risk Matrix'!$B$3="Worst Credible",$G26,$L26))</f>
        <v>2</v>
      </c>
      <c r="P26" t="str">
        <f>IF($A26="","",IF('Risk Matrix'!$B$3="Worst Credible",$H26,$M26))</f>
        <v>H</v>
      </c>
      <c r="Q26">
        <f>IF($A26="","",COUNTIFS($O$7:O26,O26,$P$7:P26,P26))</f>
        <v>1</v>
      </c>
      <c r="R26" t="str">
        <f t="shared" si="0"/>
        <v>2|H|1</v>
      </c>
    </row>
    <row r="27" spans="1:18" ht="72">
      <c r="A27" s="5">
        <v>21</v>
      </c>
      <c r="B27" s="6" t="s">
        <v>87</v>
      </c>
      <c r="C27" s="6" t="s">
        <v>88</v>
      </c>
      <c r="D27" s="6" t="s">
        <v>22</v>
      </c>
      <c r="E27" s="6" t="s">
        <v>23</v>
      </c>
      <c r="F27" s="5"/>
      <c r="G27" s="5">
        <v>5</v>
      </c>
      <c r="H27" s="5" t="s">
        <v>31</v>
      </c>
      <c r="I27" s="6"/>
      <c r="J27" s="6"/>
      <c r="K27" s="6" t="s">
        <v>164</v>
      </c>
      <c r="L27" s="5">
        <v>5</v>
      </c>
      <c r="M27" s="5" t="s">
        <v>32</v>
      </c>
      <c r="N27" s="50"/>
      <c r="O27">
        <f>IF($A27="","",IF('Risk Matrix'!$B$3="Worst Credible",$G27,$L27))</f>
        <v>5</v>
      </c>
      <c r="P27" t="str">
        <f>IF($A27="","",IF('Risk Matrix'!$B$3="Worst Credible",$H27,$M27))</f>
        <v>E</v>
      </c>
      <c r="Q27">
        <f>IF($A27="","",COUNTIFS($O$7:O27,O27,$P$7:P27,P27))</f>
        <v>1</v>
      </c>
      <c r="R27" t="str">
        <f t="shared" si="0"/>
        <v>5|E|1</v>
      </c>
    </row>
    <row r="28" spans="1:18" ht="60">
      <c r="A28" s="5">
        <v>22</v>
      </c>
      <c r="B28" s="6" t="s">
        <v>89</v>
      </c>
      <c r="C28" s="6" t="s">
        <v>90</v>
      </c>
      <c r="D28" s="6" t="s">
        <v>22</v>
      </c>
      <c r="E28" s="6" t="s">
        <v>23</v>
      </c>
      <c r="F28" s="5"/>
      <c r="G28" s="5">
        <v>2</v>
      </c>
      <c r="H28" s="5" t="s">
        <v>31</v>
      </c>
      <c r="I28" s="6"/>
      <c r="J28" s="6"/>
      <c r="K28" s="6" t="s">
        <v>113</v>
      </c>
      <c r="L28" s="5">
        <v>1</v>
      </c>
      <c r="M28" s="5" t="s">
        <v>33</v>
      </c>
      <c r="N28" s="50"/>
      <c r="O28">
        <f>IF($A28="","",IF('Risk Matrix'!$B$3="Worst Credible",$G28,$L28))</f>
        <v>1</v>
      </c>
      <c r="P28" t="str">
        <f>IF($A28="","",IF('Risk Matrix'!$B$3="Worst Credible",$H28,$M28))</f>
        <v>F</v>
      </c>
      <c r="Q28">
        <f>IF($A28="","",COUNTIFS($O$7:O28,O28,$P$7:P28,P28))</f>
        <v>3</v>
      </c>
      <c r="R28" t="str">
        <f t="shared" si="0"/>
        <v>1|F|3</v>
      </c>
    </row>
    <row r="29" spans="1:18" ht="108">
      <c r="A29" s="5">
        <v>23</v>
      </c>
      <c r="B29" s="6" t="s">
        <v>91</v>
      </c>
      <c r="C29" s="6" t="s">
        <v>92</v>
      </c>
      <c r="D29" s="6" t="s">
        <v>52</v>
      </c>
      <c r="E29" s="6" t="s">
        <v>23</v>
      </c>
      <c r="F29" s="5"/>
      <c r="G29" s="5">
        <v>4</v>
      </c>
      <c r="H29" s="5" t="s">
        <v>30</v>
      </c>
      <c r="I29" s="6" t="s">
        <v>128</v>
      </c>
      <c r="J29" s="6" t="s">
        <v>145</v>
      </c>
      <c r="K29" s="6" t="s">
        <v>165</v>
      </c>
      <c r="L29" s="5">
        <v>3</v>
      </c>
      <c r="M29" s="5" t="s">
        <v>32</v>
      </c>
      <c r="N29" s="50"/>
      <c r="O29">
        <f>IF($A29="","",IF('Risk Matrix'!$B$3="Worst Credible",$G29,$L29))</f>
        <v>3</v>
      </c>
      <c r="P29" t="str">
        <f>IF($A29="","",IF('Risk Matrix'!$B$3="Worst Credible",$H29,$M29))</f>
        <v>E</v>
      </c>
      <c r="Q29">
        <f>IF($A29="","",COUNTIFS($O$7:O29,O29,$P$7:P29,P29))</f>
        <v>2</v>
      </c>
      <c r="R29" t="str">
        <f t="shared" si="0"/>
        <v>3|E|2</v>
      </c>
    </row>
    <row r="30" spans="1:18" ht="72">
      <c r="A30" s="5">
        <v>24</v>
      </c>
      <c r="B30" s="6" t="s">
        <v>93</v>
      </c>
      <c r="C30" s="6" t="s">
        <v>94</v>
      </c>
      <c r="D30" s="6" t="s">
        <v>22</v>
      </c>
      <c r="E30" s="6" t="s">
        <v>23</v>
      </c>
      <c r="F30" s="5"/>
      <c r="G30" s="5">
        <v>3</v>
      </c>
      <c r="H30" s="5" t="s">
        <v>29</v>
      </c>
      <c r="I30" s="6" t="s">
        <v>126</v>
      </c>
      <c r="J30" s="6" t="s">
        <v>127</v>
      </c>
      <c r="K30" s="6" t="s">
        <v>166</v>
      </c>
      <c r="L30" s="5">
        <v>2</v>
      </c>
      <c r="M30" s="5" t="s">
        <v>30</v>
      </c>
      <c r="N30" s="50"/>
      <c r="O30">
        <f>IF($A30="","",IF('Risk Matrix'!$B$3="Worst Credible",$G30,$L30))</f>
        <v>2</v>
      </c>
      <c r="P30" t="str">
        <f>IF($A30="","",IF('Risk Matrix'!$B$3="Worst Credible",$H30,$M30))</f>
        <v>C</v>
      </c>
      <c r="Q30">
        <f>IF($A30="","",COUNTIFS($O$7:O30,O30,$P$7:P30,P30))</f>
        <v>3</v>
      </c>
      <c r="R30" t="str">
        <f t="shared" si="0"/>
        <v>2|C|3</v>
      </c>
    </row>
    <row r="31" spans="1:18" ht="36">
      <c r="A31" s="5">
        <v>25</v>
      </c>
      <c r="B31" s="6" t="s">
        <v>167</v>
      </c>
      <c r="C31" s="6" t="s">
        <v>95</v>
      </c>
      <c r="D31" s="6" t="s">
        <v>22</v>
      </c>
      <c r="E31" s="6" t="s">
        <v>23</v>
      </c>
      <c r="F31" s="5"/>
      <c r="G31" s="5">
        <v>2</v>
      </c>
      <c r="H31" s="5" t="s">
        <v>33</v>
      </c>
      <c r="I31" s="6" t="s">
        <v>142</v>
      </c>
      <c r="J31" s="6" t="s">
        <v>143</v>
      </c>
      <c r="K31" s="6" t="s">
        <v>114</v>
      </c>
      <c r="L31" s="5">
        <v>1</v>
      </c>
      <c r="M31" s="5" t="s">
        <v>24</v>
      </c>
      <c r="N31" s="50"/>
      <c r="O31">
        <f>IF($A31="","",IF('Risk Matrix'!$B$3="Worst Credible",$G31,$L31))</f>
        <v>1</v>
      </c>
      <c r="P31" t="str">
        <f>IF($A31="","",IF('Risk Matrix'!$B$3="Worst Credible",$H31,$M31))</f>
        <v>H</v>
      </c>
      <c r="Q31">
        <f>IF($A31="","",COUNTIFS($O$7:O31,O31,$P$7:P31,P31))</f>
        <v>1</v>
      </c>
      <c r="R31" t="str">
        <f t="shared" si="0"/>
        <v>1|H|1</v>
      </c>
    </row>
    <row r="32" spans="1:18" ht="72">
      <c r="A32" s="5">
        <v>26</v>
      </c>
      <c r="B32" s="6" t="s">
        <v>96</v>
      </c>
      <c r="C32" s="6" t="s">
        <v>97</v>
      </c>
      <c r="D32" s="6" t="s">
        <v>22</v>
      </c>
      <c r="E32" s="6" t="s">
        <v>54</v>
      </c>
      <c r="F32" s="5"/>
      <c r="G32" s="5">
        <v>4</v>
      </c>
      <c r="H32" s="5" t="s">
        <v>32</v>
      </c>
      <c r="I32" s="6"/>
      <c r="J32" s="6"/>
      <c r="K32" s="6" t="s">
        <v>168</v>
      </c>
      <c r="L32" s="5">
        <v>3</v>
      </c>
      <c r="M32" s="5" t="s">
        <v>34</v>
      </c>
      <c r="N32" s="50"/>
      <c r="O32">
        <f>IF($A32="","",IF('Risk Matrix'!$B$3="Worst Credible",$G32,$L32))</f>
        <v>3</v>
      </c>
      <c r="P32" t="str">
        <f>IF($A32="","",IF('Risk Matrix'!$B$3="Worst Credible",$H32,$M32))</f>
        <v>G</v>
      </c>
      <c r="Q32">
        <f>IF($A32="","",COUNTIFS($O$7:O32,O32,$P$7:P32,P32))</f>
        <v>1</v>
      </c>
      <c r="R32" t="str">
        <f t="shared" si="0"/>
        <v>3|G|1</v>
      </c>
    </row>
    <row r="33" spans="1:18" ht="108">
      <c r="A33" s="5">
        <v>27</v>
      </c>
      <c r="B33" s="6" t="s">
        <v>98</v>
      </c>
      <c r="C33" s="6" t="s">
        <v>99</v>
      </c>
      <c r="D33" s="6" t="s">
        <v>100</v>
      </c>
      <c r="E33" s="6" t="s">
        <v>54</v>
      </c>
      <c r="F33" s="5"/>
      <c r="G33" s="5">
        <v>5</v>
      </c>
      <c r="H33" s="5" t="s">
        <v>29</v>
      </c>
      <c r="I33" s="6"/>
      <c r="J33" s="6"/>
      <c r="K33" s="6" t="s">
        <v>115</v>
      </c>
      <c r="L33" s="5">
        <v>4</v>
      </c>
      <c r="M33" s="5" t="s">
        <v>30</v>
      </c>
      <c r="N33" s="50"/>
      <c r="O33">
        <f>IF($A33="","",IF('Risk Matrix'!$B$3="Worst Credible",$G33,$L33))</f>
        <v>4</v>
      </c>
      <c r="P33" t="str">
        <f>IF($A33="","",IF('Risk Matrix'!$B$3="Worst Credible",$H33,$M33))</f>
        <v>C</v>
      </c>
      <c r="Q33">
        <f>IF($A33="","",COUNTIFS($O$7:O33,O33,$P$7:P33,P33))</f>
        <v>2</v>
      </c>
      <c r="R33" t="str">
        <f t="shared" si="0"/>
        <v>4|C|2</v>
      </c>
    </row>
    <row r="34" spans="1:18" ht="84">
      <c r="A34" s="5">
        <v>28</v>
      </c>
      <c r="B34" s="6" t="s">
        <v>147</v>
      </c>
      <c r="C34" s="6" t="s">
        <v>101</v>
      </c>
      <c r="D34" s="6" t="s">
        <v>100</v>
      </c>
      <c r="E34" s="6" t="s">
        <v>54</v>
      </c>
      <c r="F34" s="5"/>
      <c r="G34" s="5">
        <v>5</v>
      </c>
      <c r="H34" s="5" t="s">
        <v>28</v>
      </c>
      <c r="I34" s="6"/>
      <c r="J34" s="6"/>
      <c r="K34" s="6" t="s">
        <v>116</v>
      </c>
      <c r="L34" s="5">
        <v>4</v>
      </c>
      <c r="M34" s="5" t="s">
        <v>29</v>
      </c>
      <c r="N34" s="50"/>
      <c r="O34">
        <f>IF($A34="","",IF('Risk Matrix'!$B$3="Worst Credible",$G34,$L34))</f>
        <v>4</v>
      </c>
      <c r="P34" t="str">
        <f>IF($A34="","",IF('Risk Matrix'!$B$3="Worst Credible",$H34,$M34))</f>
        <v>B</v>
      </c>
      <c r="Q34">
        <f>IF($A34="","",COUNTIFS($O$7:O34,O34,$P$7:P34,P34))</f>
        <v>1</v>
      </c>
      <c r="R34" t="str">
        <f t="shared" si="0"/>
        <v>4|B|1</v>
      </c>
    </row>
    <row r="35" spans="1:18" ht="84">
      <c r="A35" s="5">
        <v>29</v>
      </c>
      <c r="B35" s="6" t="s">
        <v>102</v>
      </c>
      <c r="C35" s="6" t="s">
        <v>103</v>
      </c>
      <c r="D35" s="6" t="s">
        <v>100</v>
      </c>
      <c r="E35" s="6" t="s">
        <v>54</v>
      </c>
      <c r="F35" s="5"/>
      <c r="G35" s="5">
        <v>4</v>
      </c>
      <c r="H35" s="5" t="s">
        <v>31</v>
      </c>
      <c r="I35" s="6"/>
      <c r="J35" s="6"/>
      <c r="K35" s="6" t="s">
        <v>117</v>
      </c>
      <c r="L35" s="5">
        <v>3</v>
      </c>
      <c r="M35" s="5" t="s">
        <v>32</v>
      </c>
      <c r="N35" s="50"/>
      <c r="O35">
        <f>IF($A35="","",IF('Risk Matrix'!$B$3="Worst Credible",$G35,$L35))</f>
        <v>3</v>
      </c>
      <c r="P35" t="str">
        <f>IF($A35="","",IF('Risk Matrix'!$B$3="Worst Credible",$H35,$M35))</f>
        <v>E</v>
      </c>
      <c r="Q35">
        <f>IF($A35="","",COUNTIFS($O$7:O35,O35,$P$7:P35,P35))</f>
        <v>3</v>
      </c>
      <c r="R35" t="str">
        <f t="shared" si="0"/>
        <v>3|E|3</v>
      </c>
    </row>
    <row r="36" spans="1:18" ht="72">
      <c r="A36" s="5">
        <v>30</v>
      </c>
      <c r="B36" s="6" t="s">
        <v>104</v>
      </c>
      <c r="C36" s="6" t="s">
        <v>105</v>
      </c>
      <c r="D36" s="6" t="s">
        <v>100</v>
      </c>
      <c r="E36" s="6" t="s">
        <v>54</v>
      </c>
      <c r="F36" s="5"/>
      <c r="G36" s="5">
        <v>5</v>
      </c>
      <c r="H36" s="5" t="s">
        <v>32</v>
      </c>
      <c r="I36" s="6"/>
      <c r="J36" s="6"/>
      <c r="K36" s="6" t="s">
        <v>118</v>
      </c>
      <c r="L36" s="5">
        <v>4</v>
      </c>
      <c r="M36" s="5" t="s">
        <v>33</v>
      </c>
      <c r="N36" s="50"/>
      <c r="O36">
        <f>IF($A36="","",IF('Risk Matrix'!$B$3="Worst Credible",$G36,$L36))</f>
        <v>4</v>
      </c>
      <c r="P36" t="str">
        <f>IF($A36="","",IF('Risk Matrix'!$B$3="Worst Credible",$H36,$M36))</f>
        <v>F</v>
      </c>
      <c r="Q36">
        <f>IF($A36="","",COUNTIFS($O$7:O36,O36,$P$7:P36,P36))</f>
        <v>1</v>
      </c>
      <c r="R36" t="str">
        <f t="shared" si="0"/>
        <v>4|F|1</v>
      </c>
    </row>
    <row r="37" spans="1:18" ht="72">
      <c r="A37" s="5">
        <v>31</v>
      </c>
      <c r="B37" s="6" t="s">
        <v>106</v>
      </c>
      <c r="C37" s="6" t="s">
        <v>107</v>
      </c>
      <c r="D37" s="6" t="s">
        <v>100</v>
      </c>
      <c r="E37" s="6" t="s">
        <v>54</v>
      </c>
      <c r="F37" s="5"/>
      <c r="G37" s="5">
        <v>5</v>
      </c>
      <c r="H37" s="5" t="s">
        <v>32</v>
      </c>
      <c r="I37" s="6"/>
      <c r="J37" s="6"/>
      <c r="K37" s="6" t="s">
        <v>119</v>
      </c>
      <c r="L37" s="5">
        <v>4</v>
      </c>
      <c r="M37" s="5" t="s">
        <v>34</v>
      </c>
      <c r="N37" s="50"/>
      <c r="O37">
        <f>IF($A37="","",IF('Risk Matrix'!$B$3="Worst Credible",$G37,$L37))</f>
        <v>4</v>
      </c>
      <c r="P37" t="str">
        <f>IF($A37="","",IF('Risk Matrix'!$B$3="Worst Credible",$H37,$M37))</f>
        <v>G</v>
      </c>
      <c r="Q37">
        <f>IF($A37="","",COUNTIFS($O$7:O37,O37,$P$7:P37,P37))</f>
        <v>2</v>
      </c>
      <c r="R37" t="str">
        <f t="shared" si="0"/>
        <v>4|G|2</v>
      </c>
    </row>
    <row r="38" spans="1:18" ht="72">
      <c r="A38" s="5">
        <v>32</v>
      </c>
      <c r="B38" s="6" t="s">
        <v>122</v>
      </c>
      <c r="C38" s="6" t="s">
        <v>123</v>
      </c>
      <c r="D38" s="6" t="s">
        <v>22</v>
      </c>
      <c r="E38" s="6" t="s">
        <v>23</v>
      </c>
      <c r="F38" s="5"/>
      <c r="G38" s="5">
        <v>3</v>
      </c>
      <c r="H38" s="5" t="s">
        <v>31</v>
      </c>
      <c r="I38" s="6" t="s">
        <v>124</v>
      </c>
      <c r="J38" s="6" t="s">
        <v>125</v>
      </c>
      <c r="K38" s="6"/>
      <c r="L38" s="5">
        <v>2</v>
      </c>
      <c r="M38" s="5" t="s">
        <v>33</v>
      </c>
      <c r="N38" s="50"/>
      <c r="O38">
        <f>IF($A38="","",IF('Risk Matrix'!$B$3="Worst Credible",$G38,$L38))</f>
        <v>2</v>
      </c>
      <c r="P38" t="str">
        <f>IF($A38="","",IF('Risk Matrix'!$B$3="Worst Credible",$H38,$M38))</f>
        <v>F</v>
      </c>
      <c r="Q38">
        <f>IF($A38="","",COUNTIFS($O$7:O38,O38,$P$7:P38,P38))</f>
        <v>2</v>
      </c>
      <c r="R38" t="str">
        <f t="shared" si="0"/>
        <v>2|F|2</v>
      </c>
    </row>
    <row r="39" spans="1:18" ht="96">
      <c r="A39" s="5">
        <v>33</v>
      </c>
      <c r="B39" s="6" t="s">
        <v>175</v>
      </c>
      <c r="C39" s="6" t="s">
        <v>132</v>
      </c>
      <c r="D39" s="6" t="s">
        <v>22</v>
      </c>
      <c r="E39" s="6" t="s">
        <v>54</v>
      </c>
      <c r="F39" s="5"/>
      <c r="G39" s="5">
        <v>3</v>
      </c>
      <c r="H39" s="5" t="s">
        <v>32</v>
      </c>
      <c r="I39" s="6" t="s">
        <v>133</v>
      </c>
      <c r="J39" s="6" t="s">
        <v>134</v>
      </c>
      <c r="K39" s="6" t="s">
        <v>135</v>
      </c>
      <c r="L39" s="5">
        <v>2</v>
      </c>
      <c r="M39" s="5" t="s">
        <v>34</v>
      </c>
      <c r="N39" s="50"/>
      <c r="O39">
        <f>IF($A39="","",IF('Risk Matrix'!$B$3="Worst Credible",$G39,$L39))</f>
        <v>2</v>
      </c>
      <c r="P39" t="str">
        <f>IF($A39="","",IF('Risk Matrix'!$B$3="Worst Credible",$H39,$M39))</f>
        <v>G</v>
      </c>
      <c r="Q39">
        <f>IF($A39="","",COUNTIFS($O$7:O39,O39,$P$7:P39,P39))</f>
        <v>3</v>
      </c>
      <c r="R39" t="str">
        <f t="shared" si="0"/>
        <v>2|G|3</v>
      </c>
    </row>
    <row r="40" spans="1:18" ht="48" customHeight="1">
      <c r="A40" s="5">
        <v>34</v>
      </c>
      <c r="B40" s="6"/>
      <c r="C40" s="6"/>
      <c r="D40" s="6"/>
      <c r="E40" s="6"/>
      <c r="F40" s="5"/>
      <c r="G40" s="5"/>
      <c r="H40" s="5"/>
      <c r="I40" s="6"/>
      <c r="J40" s="6"/>
      <c r="K40" s="6"/>
      <c r="L40" s="5"/>
      <c r="M40" s="5"/>
      <c r="N40" s="50"/>
      <c r="O40">
        <f>IF($A40="","",IF('Risk Matrix'!$B$3="Worst Credible",$G40,$L40))</f>
        <v>0</v>
      </c>
      <c r="P40">
        <f>IF($A40="","",IF('Risk Matrix'!$B$3="Worst Credible",$H40,$M40))</f>
        <v>0</v>
      </c>
      <c r="Q40">
        <f>IF($A40="","",COUNTIFS($O$7:O40,O40,$P$7:P40,P40))</f>
        <v>1</v>
      </c>
      <c r="R40" t="str">
        <f t="shared" si="0"/>
        <v>0|0|1</v>
      </c>
    </row>
    <row r="41" spans="1:18" ht="48" customHeight="1">
      <c r="A41" s="5">
        <v>35</v>
      </c>
      <c r="B41" s="6"/>
      <c r="C41" s="6"/>
      <c r="D41" s="6"/>
      <c r="E41" s="6"/>
      <c r="F41" s="5"/>
      <c r="G41" s="5"/>
      <c r="H41" s="5"/>
      <c r="I41" s="6"/>
      <c r="J41" s="6"/>
      <c r="K41" s="6"/>
      <c r="L41" s="5"/>
      <c r="M41" s="5"/>
      <c r="N41" s="50"/>
      <c r="O41">
        <f>IF($A41="","",IF('Risk Matrix'!$B$3="Worst Credible",$G41,$L41))</f>
        <v>0</v>
      </c>
      <c r="P41">
        <f>IF($A41="","",IF('Risk Matrix'!$B$3="Worst Credible",$H41,$M41))</f>
        <v>0</v>
      </c>
      <c r="Q41">
        <f>IF($A41="","",COUNTIFS($O$7:O41,O41,$P$7:P41,P41))</f>
        <v>2</v>
      </c>
      <c r="R41" t="str">
        <f t="shared" si="0"/>
        <v>0|0|2</v>
      </c>
    </row>
    <row r="42" spans="1:18" ht="48" customHeight="1">
      <c r="A42" s="5">
        <v>36</v>
      </c>
      <c r="B42" s="6"/>
      <c r="C42" s="6"/>
      <c r="D42" s="6"/>
      <c r="E42" s="6"/>
      <c r="F42" s="5"/>
      <c r="G42" s="5"/>
      <c r="H42" s="5"/>
      <c r="I42" s="6"/>
      <c r="J42" s="6"/>
      <c r="K42" s="6"/>
      <c r="L42" s="5"/>
      <c r="M42" s="5"/>
      <c r="N42" s="50"/>
      <c r="O42">
        <f>IF($A42="","",IF('Risk Matrix'!$B$3="Worst Credible",$G42,$L42))</f>
        <v>0</v>
      </c>
      <c r="P42">
        <f>IF($A42="","",IF('Risk Matrix'!$B$3="Worst Credible",$H42,$M42))</f>
        <v>0</v>
      </c>
      <c r="Q42">
        <f>IF($A42="","",COUNTIFS($O$7:O42,O42,$P$7:P42,P42))</f>
        <v>3</v>
      </c>
      <c r="R42" t="str">
        <f t="shared" si="0"/>
        <v>0|0|3</v>
      </c>
    </row>
    <row r="43" spans="1:18" ht="48" customHeight="1">
      <c r="A43" s="5">
        <v>37</v>
      </c>
      <c r="B43" s="6"/>
      <c r="C43" s="6"/>
      <c r="D43" s="6"/>
      <c r="E43" s="6"/>
      <c r="F43" s="5"/>
      <c r="G43" s="5"/>
      <c r="H43" s="5"/>
      <c r="I43" s="6"/>
      <c r="J43" s="6"/>
      <c r="K43" s="6"/>
      <c r="L43" s="5"/>
      <c r="M43" s="5"/>
      <c r="N43" s="50"/>
      <c r="O43">
        <f>IF($A43="","",IF('Risk Matrix'!$B$3="Worst Credible",$G43,$L43))</f>
        <v>0</v>
      </c>
      <c r="P43">
        <f>IF($A43="","",IF('Risk Matrix'!$B$3="Worst Credible",$H43,$M43))</f>
        <v>0</v>
      </c>
      <c r="Q43">
        <f>IF($A43="","",COUNTIFS($O$7:O43,O43,$P$7:P43,P43))</f>
        <v>4</v>
      </c>
      <c r="R43" t="str">
        <f t="shared" si="0"/>
        <v>0|0|4</v>
      </c>
    </row>
    <row r="44" spans="1:18" ht="48" customHeight="1">
      <c r="A44" s="5">
        <v>38</v>
      </c>
      <c r="B44" s="6"/>
      <c r="C44" s="6"/>
      <c r="D44" s="6"/>
      <c r="E44" s="6"/>
      <c r="F44" s="5"/>
      <c r="G44" s="5"/>
      <c r="H44" s="5"/>
      <c r="I44" s="6"/>
      <c r="J44" s="6"/>
      <c r="K44" s="6"/>
      <c r="L44" s="5"/>
      <c r="M44" s="5"/>
      <c r="N44" s="50"/>
      <c r="O44">
        <f>IF($A44="","",IF('Risk Matrix'!$B$3="Worst Credible",$G44,$L44))</f>
        <v>0</v>
      </c>
      <c r="P44">
        <f>IF($A44="","",IF('Risk Matrix'!$B$3="Worst Credible",$H44,$M44))</f>
        <v>0</v>
      </c>
      <c r="Q44">
        <f>IF($A44="","",COUNTIFS($O$7:O44,O44,$P$7:P44,P44))</f>
        <v>5</v>
      </c>
      <c r="R44" t="str">
        <f t="shared" si="0"/>
        <v>0|0|5</v>
      </c>
    </row>
    <row r="45" spans="1:18" ht="48" customHeight="1">
      <c r="A45" s="5">
        <v>39</v>
      </c>
      <c r="B45" s="6"/>
      <c r="C45" s="6"/>
      <c r="D45" s="6"/>
      <c r="E45" s="6"/>
      <c r="F45" s="5"/>
      <c r="G45" s="5"/>
      <c r="H45" s="5"/>
      <c r="I45" s="6"/>
      <c r="J45" s="6"/>
      <c r="K45" s="6"/>
      <c r="L45" s="5"/>
      <c r="M45" s="5"/>
      <c r="N45" s="50"/>
      <c r="O45">
        <f>IF($A45="","",IF('Risk Matrix'!$B$3="Worst Credible",$G45,$L45))</f>
        <v>0</v>
      </c>
      <c r="P45">
        <f>IF($A45="","",IF('Risk Matrix'!$B$3="Worst Credible",$H45,$M45))</f>
        <v>0</v>
      </c>
      <c r="Q45">
        <f>IF($A45="","",COUNTIFS($O$7:O45,O45,$P$7:P45,P45))</f>
        <v>6</v>
      </c>
      <c r="R45" t="str">
        <f t="shared" si="0"/>
        <v>0|0|6</v>
      </c>
    </row>
    <row r="46" spans="1:18" ht="48" customHeight="1">
      <c r="A46" s="5">
        <v>40</v>
      </c>
      <c r="B46" s="6"/>
      <c r="C46" s="6"/>
      <c r="D46" s="6"/>
      <c r="E46" s="6"/>
      <c r="F46" s="5"/>
      <c r="G46" s="5"/>
      <c r="H46" s="5"/>
      <c r="I46" s="6"/>
      <c r="J46" s="6"/>
      <c r="K46" s="6"/>
      <c r="L46" s="5"/>
      <c r="M46" s="5"/>
      <c r="N46" s="50"/>
      <c r="O46">
        <f>IF($A46="","",IF('Risk Matrix'!$B$3="Worst Credible",$G46,$L46))</f>
        <v>0</v>
      </c>
      <c r="P46">
        <f>IF($A46="","",IF('Risk Matrix'!$B$3="Worst Credible",$H46,$M46))</f>
        <v>0</v>
      </c>
      <c r="Q46">
        <f>IF($A46="","",COUNTIFS($O$7:O46,O46,$P$7:P46,P46))</f>
        <v>7</v>
      </c>
      <c r="R46" t="str">
        <f t="shared" si="0"/>
        <v>0|0|7</v>
      </c>
    </row>
    <row r="47" spans="1:18" ht="48" customHeight="1">
      <c r="A47" s="5">
        <v>41</v>
      </c>
      <c r="B47" s="6"/>
      <c r="C47" s="6"/>
      <c r="D47" s="6"/>
      <c r="E47" s="6"/>
      <c r="F47" s="5"/>
      <c r="G47" s="5"/>
      <c r="H47" s="5"/>
      <c r="I47" s="6"/>
      <c r="J47" s="6"/>
      <c r="K47" s="6"/>
      <c r="L47" s="5"/>
      <c r="M47" s="5"/>
      <c r="N47" s="50"/>
      <c r="O47">
        <f>IF($A47="","",IF('Risk Matrix'!$B$3="Worst Credible",$G47,$L47))</f>
        <v>0</v>
      </c>
      <c r="P47">
        <f>IF($A47="","",IF('Risk Matrix'!$B$3="Worst Credible",$H47,$M47))</f>
        <v>0</v>
      </c>
      <c r="Q47">
        <f>IF($A47="","",COUNTIFS($O$7:O47,O47,$P$7:P47,P47))</f>
        <v>8</v>
      </c>
      <c r="R47" t="str">
        <f t="shared" si="0"/>
        <v>0|0|8</v>
      </c>
    </row>
    <row r="48" spans="1:18" ht="48" customHeight="1">
      <c r="A48" s="5">
        <v>42</v>
      </c>
      <c r="B48" s="6"/>
      <c r="C48" s="6"/>
      <c r="D48" s="6"/>
      <c r="E48" s="6"/>
      <c r="F48" s="5"/>
      <c r="G48" s="5"/>
      <c r="H48" s="5"/>
      <c r="I48" s="6"/>
      <c r="J48" s="6"/>
      <c r="K48" s="6"/>
      <c r="L48" s="5"/>
      <c r="M48" s="5"/>
      <c r="N48" s="50"/>
      <c r="O48">
        <f>IF($A48="","",IF('Risk Matrix'!$B$3="Worst Credible",$G48,$L48))</f>
        <v>0</v>
      </c>
      <c r="P48">
        <f>IF($A48="","",IF('Risk Matrix'!$B$3="Worst Credible",$H48,$M48))</f>
        <v>0</v>
      </c>
      <c r="Q48">
        <f>IF($A48="","",COUNTIFS($O$7:O48,O48,$P$7:P48,P48))</f>
        <v>9</v>
      </c>
      <c r="R48" t="str">
        <f t="shared" si="0"/>
        <v>0|0|9</v>
      </c>
    </row>
    <row r="49" spans="1:18" ht="48" customHeight="1">
      <c r="A49" s="5">
        <v>43</v>
      </c>
      <c r="B49" s="6"/>
      <c r="C49" s="6"/>
      <c r="D49" s="6"/>
      <c r="E49" s="6"/>
      <c r="F49" s="5"/>
      <c r="G49" s="5"/>
      <c r="H49" s="5"/>
      <c r="I49" s="6"/>
      <c r="J49" s="6"/>
      <c r="K49" s="6"/>
      <c r="L49" s="5"/>
      <c r="M49" s="5"/>
      <c r="N49" s="50"/>
      <c r="O49">
        <f>IF($A49="","",IF('Risk Matrix'!$B$3="Worst Credible",$G49,$L49))</f>
        <v>0</v>
      </c>
      <c r="P49">
        <f>IF($A49="","",IF('Risk Matrix'!$B$3="Worst Credible",$H49,$M49))</f>
        <v>0</v>
      </c>
      <c r="Q49">
        <f>IF($A49="","",COUNTIFS($O$7:O49,O49,$P$7:P49,P49))</f>
        <v>10</v>
      </c>
      <c r="R49" t="str">
        <f t="shared" si="0"/>
        <v>0|0|10</v>
      </c>
    </row>
    <row r="50" spans="1:18" ht="48" customHeight="1">
      <c r="A50" s="5">
        <v>44</v>
      </c>
      <c r="B50" s="6"/>
      <c r="C50" s="6"/>
      <c r="D50" s="6"/>
      <c r="E50" s="6"/>
      <c r="F50" s="5"/>
      <c r="G50" s="5"/>
      <c r="H50" s="5"/>
      <c r="I50" s="6"/>
      <c r="J50" s="6"/>
      <c r="K50" s="6"/>
      <c r="L50" s="5"/>
      <c r="M50" s="5"/>
      <c r="N50" s="50"/>
      <c r="O50">
        <f>IF($A50="","",IF('Risk Matrix'!$B$3="Worst Credible",$G50,$L50))</f>
        <v>0</v>
      </c>
      <c r="P50">
        <f>IF($A50="","",IF('Risk Matrix'!$B$3="Worst Credible",$H50,$M50))</f>
        <v>0</v>
      </c>
      <c r="Q50">
        <f>IF($A50="","",COUNTIFS($O$7:O50,O50,$P$7:P50,P50))</f>
        <v>11</v>
      </c>
      <c r="R50" t="str">
        <f t="shared" si="0"/>
        <v>0|0|11</v>
      </c>
    </row>
    <row r="51" spans="1:18" ht="48" customHeight="1">
      <c r="A51" s="5">
        <v>45</v>
      </c>
      <c r="B51" s="6"/>
      <c r="C51" s="6"/>
      <c r="D51" s="6"/>
      <c r="E51" s="6"/>
      <c r="F51" s="5"/>
      <c r="G51" s="5"/>
      <c r="H51" s="5"/>
      <c r="I51" s="6"/>
      <c r="J51" s="6"/>
      <c r="K51" s="6"/>
      <c r="L51" s="5"/>
      <c r="M51" s="5"/>
      <c r="N51" s="50"/>
      <c r="O51">
        <f>IF($A51="","",IF('Risk Matrix'!$B$3="Worst Credible",$G51,$L51))</f>
        <v>0</v>
      </c>
      <c r="P51">
        <f>IF($A51="","",IF('Risk Matrix'!$B$3="Worst Credible",$H51,$M51))</f>
        <v>0</v>
      </c>
      <c r="Q51">
        <f>IF($A51="","",COUNTIFS($O$7:O51,O51,$P$7:P51,P51))</f>
        <v>12</v>
      </c>
      <c r="R51" t="str">
        <f t="shared" si="0"/>
        <v>0|0|12</v>
      </c>
    </row>
    <row r="52" spans="1:18" ht="48" customHeight="1">
      <c r="A52" s="5">
        <v>46</v>
      </c>
      <c r="B52" s="6"/>
      <c r="C52" s="6"/>
      <c r="D52" s="6"/>
      <c r="E52" s="6"/>
      <c r="F52" s="5"/>
      <c r="G52" s="5"/>
      <c r="H52" s="5"/>
      <c r="I52" s="6"/>
      <c r="J52" s="6"/>
      <c r="K52" s="6"/>
      <c r="L52" s="5"/>
      <c r="M52" s="5"/>
      <c r="N52" s="50"/>
      <c r="O52">
        <f>IF($A52="","",IF('Risk Matrix'!$B$3="Worst Credible",$G52,$L52))</f>
        <v>0</v>
      </c>
      <c r="P52">
        <f>IF($A52="","",IF('Risk Matrix'!$B$3="Worst Credible",$H52,$M52))</f>
        <v>0</v>
      </c>
      <c r="Q52">
        <f>IF($A52="","",COUNTIFS($O$7:O52,O52,$P$7:P52,P52))</f>
        <v>13</v>
      </c>
      <c r="R52" t="str">
        <f t="shared" si="0"/>
        <v>0|0|13</v>
      </c>
    </row>
    <row r="53" spans="1:18" ht="48" customHeight="1">
      <c r="A53" s="5">
        <v>47</v>
      </c>
      <c r="B53" s="6"/>
      <c r="C53" s="6"/>
      <c r="D53" s="6"/>
      <c r="E53" s="6"/>
      <c r="F53" s="5"/>
      <c r="G53" s="5"/>
      <c r="H53" s="5"/>
      <c r="I53" s="6"/>
      <c r="J53" s="6"/>
      <c r="K53" s="6"/>
      <c r="L53" s="5"/>
      <c r="M53" s="5"/>
      <c r="N53" s="50"/>
      <c r="O53">
        <f>IF($A53="","",IF('Risk Matrix'!$B$3="Worst Credible",$G53,$L53))</f>
        <v>0</v>
      </c>
      <c r="P53">
        <f>IF($A53="","",IF('Risk Matrix'!$B$3="Worst Credible",$H53,$M53))</f>
        <v>0</v>
      </c>
      <c r="Q53">
        <f>IF($A53="","",COUNTIFS($O$7:O53,O53,$P$7:P53,P53))</f>
        <v>14</v>
      </c>
      <c r="R53" t="str">
        <f t="shared" si="0"/>
        <v>0|0|14</v>
      </c>
    </row>
    <row r="54" spans="1:18" ht="48" customHeight="1">
      <c r="A54" s="5">
        <v>48</v>
      </c>
      <c r="B54" s="6"/>
      <c r="C54" s="6"/>
      <c r="D54" s="6"/>
      <c r="E54" s="6"/>
      <c r="F54" s="5"/>
      <c r="G54" s="5"/>
      <c r="H54" s="5"/>
      <c r="I54" s="6"/>
      <c r="J54" s="6"/>
      <c r="K54" s="6"/>
      <c r="L54" s="5"/>
      <c r="M54" s="5"/>
      <c r="N54" s="50"/>
      <c r="O54">
        <f>IF($A54="","",IF('Risk Matrix'!$B$3="Worst Credible",$G54,$L54))</f>
        <v>0</v>
      </c>
      <c r="P54">
        <f>IF($A54="","",IF('Risk Matrix'!$B$3="Worst Credible",$H54,$M54))</f>
        <v>0</v>
      </c>
      <c r="Q54">
        <f>IF($A54="","",COUNTIFS($O$7:O54,O54,$P$7:P54,P54))</f>
        <v>15</v>
      </c>
      <c r="R54" t="str">
        <f t="shared" si="0"/>
        <v>0|0|15</v>
      </c>
    </row>
    <row r="55" spans="1:18" ht="48" customHeight="1">
      <c r="A55" s="5">
        <v>49</v>
      </c>
      <c r="B55" s="6"/>
      <c r="C55" s="6"/>
      <c r="D55" s="6"/>
      <c r="E55" s="6"/>
      <c r="F55" s="5"/>
      <c r="G55" s="5"/>
      <c r="H55" s="5"/>
      <c r="I55" s="6"/>
      <c r="J55" s="6"/>
      <c r="K55" s="6"/>
      <c r="L55" s="5"/>
      <c r="M55" s="5"/>
      <c r="N55" s="50"/>
      <c r="O55">
        <f>IF($A55="","",IF('Risk Matrix'!$B$3="Worst Credible",$G55,$L55))</f>
        <v>0</v>
      </c>
      <c r="P55">
        <f>IF($A55="","",IF('Risk Matrix'!$B$3="Worst Credible",$H55,$M55))</f>
        <v>0</v>
      </c>
      <c r="Q55">
        <f>IF($A55="","",COUNTIFS($O$7:O55,O55,$P$7:P55,P55))</f>
        <v>16</v>
      </c>
      <c r="R55" t="str">
        <f t="shared" si="0"/>
        <v>0|0|16</v>
      </c>
    </row>
    <row r="56" spans="1:18" ht="48" customHeight="1">
      <c r="A56" s="5">
        <v>50</v>
      </c>
      <c r="B56" s="6"/>
      <c r="C56" s="6"/>
      <c r="D56" s="6"/>
      <c r="E56" s="6"/>
      <c r="F56" s="5"/>
      <c r="G56" s="5"/>
      <c r="H56" s="5"/>
      <c r="I56" s="6"/>
      <c r="J56" s="6"/>
      <c r="K56" s="6"/>
      <c r="L56" s="5"/>
      <c r="M56" s="5"/>
      <c r="N56" s="50"/>
      <c r="O56">
        <f>IF($A56="","",IF('Risk Matrix'!$B$3="Worst Credible",$G56,$L56))</f>
        <v>0</v>
      </c>
      <c r="P56">
        <f>IF($A56="","",IF('Risk Matrix'!$B$3="Worst Credible",$H56,$M56))</f>
        <v>0</v>
      </c>
      <c r="Q56">
        <f>IF($A56="","",COUNTIFS($O$7:O56,O56,$P$7:P56,P56))</f>
        <v>17</v>
      </c>
      <c r="R56" t="str">
        <f t="shared" si="0"/>
        <v>0|0|17</v>
      </c>
    </row>
    <row r="57" spans="1:18" ht="48" customHeight="1">
      <c r="A57" s="5">
        <v>51</v>
      </c>
      <c r="B57" s="6"/>
      <c r="C57" s="6"/>
      <c r="D57" s="6"/>
      <c r="E57" s="6"/>
      <c r="F57" s="5"/>
      <c r="G57" s="5"/>
      <c r="H57" s="5"/>
      <c r="I57" s="6"/>
      <c r="J57" s="6"/>
      <c r="K57" s="6"/>
      <c r="L57" s="5"/>
      <c r="M57" s="5"/>
      <c r="N57" s="50"/>
      <c r="O57">
        <f>IF($A57="","",IF('Risk Matrix'!$B$3="Worst Credible",$G57,$L57))</f>
        <v>0</v>
      </c>
      <c r="P57">
        <f>IF($A57="","",IF('Risk Matrix'!$B$3="Worst Credible",$H57,$M57))</f>
        <v>0</v>
      </c>
      <c r="Q57">
        <f>IF($A57="","",COUNTIFS($O$7:O57,O57,$P$7:P57,P57))</f>
        <v>18</v>
      </c>
      <c r="R57" t="str">
        <f t="shared" si="0"/>
        <v>0|0|18</v>
      </c>
    </row>
    <row r="58" spans="1:18" ht="48" customHeight="1">
      <c r="A58" s="5">
        <v>52</v>
      </c>
      <c r="B58" s="6"/>
      <c r="C58" s="6"/>
      <c r="D58" s="6"/>
      <c r="E58" s="6"/>
      <c r="F58" s="5"/>
      <c r="G58" s="5"/>
      <c r="H58" s="5"/>
      <c r="I58" s="6"/>
      <c r="J58" s="6"/>
      <c r="K58" s="6"/>
      <c r="L58" s="5"/>
      <c r="M58" s="5"/>
      <c r="N58" s="50"/>
      <c r="O58">
        <f>IF($A58="","",IF('Risk Matrix'!$B$3="Worst Credible",$G58,$L58))</f>
        <v>0</v>
      </c>
      <c r="P58">
        <f>IF($A58="","",IF('Risk Matrix'!$B$3="Worst Credible",$H58,$M58))</f>
        <v>0</v>
      </c>
      <c r="Q58">
        <f>IF($A58="","",COUNTIFS($O$7:O58,O58,$P$7:P58,P58))</f>
        <v>19</v>
      </c>
      <c r="R58" t="str">
        <f t="shared" si="0"/>
        <v>0|0|19</v>
      </c>
    </row>
    <row r="59" spans="1:18" ht="48" customHeight="1">
      <c r="A59" s="5">
        <v>53</v>
      </c>
      <c r="B59" s="6"/>
      <c r="C59" s="6"/>
      <c r="D59" s="6"/>
      <c r="E59" s="6"/>
      <c r="F59" s="5"/>
      <c r="G59" s="5"/>
      <c r="H59" s="5"/>
      <c r="I59" s="6"/>
      <c r="J59" s="6"/>
      <c r="K59" s="6"/>
      <c r="L59" s="5"/>
      <c r="M59" s="5"/>
      <c r="N59" s="50"/>
      <c r="O59">
        <f>IF($A59="","",IF('Risk Matrix'!$B$3="Worst Credible",$G59,$L59))</f>
        <v>0</v>
      </c>
      <c r="P59">
        <f>IF($A59="","",IF('Risk Matrix'!$B$3="Worst Credible",$H59,$M59))</f>
        <v>0</v>
      </c>
      <c r="Q59">
        <f>IF($A59="","",COUNTIFS($O$7:O59,O59,$P$7:P59,P59))</f>
        <v>20</v>
      </c>
      <c r="R59" t="str">
        <f t="shared" si="0"/>
        <v>0|0|20</v>
      </c>
    </row>
    <row r="60" spans="1:18" ht="48" customHeight="1">
      <c r="A60" s="5">
        <v>54</v>
      </c>
      <c r="B60" s="6"/>
      <c r="C60" s="6"/>
      <c r="D60" s="6"/>
      <c r="E60" s="6"/>
      <c r="F60" s="5"/>
      <c r="G60" s="5"/>
      <c r="H60" s="5"/>
      <c r="I60" s="6"/>
      <c r="J60" s="6"/>
      <c r="K60" s="6"/>
      <c r="L60" s="5"/>
      <c r="M60" s="5"/>
      <c r="N60" s="50"/>
      <c r="O60">
        <f>IF($A60="","",IF('Risk Matrix'!$B$3="Worst Credible",$G60,$L60))</f>
        <v>0</v>
      </c>
      <c r="P60">
        <f>IF($A60="","",IF('Risk Matrix'!$B$3="Worst Credible",$H60,$M60))</f>
        <v>0</v>
      </c>
      <c r="Q60">
        <f>IF($A60="","",COUNTIFS($O$7:O60,O60,$P$7:P60,P60))</f>
        <v>21</v>
      </c>
      <c r="R60" t="str">
        <f t="shared" si="0"/>
        <v>0|0|21</v>
      </c>
    </row>
    <row r="61" spans="1:18" ht="48" customHeight="1">
      <c r="A61" s="5">
        <v>55</v>
      </c>
      <c r="B61" s="6"/>
      <c r="C61" s="6"/>
      <c r="D61" s="6"/>
      <c r="E61" s="6"/>
      <c r="F61" s="5"/>
      <c r="G61" s="5"/>
      <c r="H61" s="5"/>
      <c r="I61" s="6"/>
      <c r="J61" s="6"/>
      <c r="K61" s="6"/>
      <c r="L61" s="5"/>
      <c r="M61" s="5"/>
      <c r="N61" s="50"/>
      <c r="O61">
        <f>IF($A61="","",IF('Risk Matrix'!$B$3="Worst Credible",$G61,$L61))</f>
        <v>0</v>
      </c>
      <c r="P61">
        <f>IF($A61="","",IF('Risk Matrix'!$B$3="Worst Credible",$H61,$M61))</f>
        <v>0</v>
      </c>
      <c r="Q61">
        <f>IF($A61="","",COUNTIFS($O$7:O61,O61,$P$7:P61,P61))</f>
        <v>22</v>
      </c>
      <c r="R61" t="str">
        <f t="shared" si="0"/>
        <v>0|0|22</v>
      </c>
    </row>
    <row r="62" spans="1:18" ht="48" customHeight="1">
      <c r="A62" s="5">
        <v>56</v>
      </c>
      <c r="B62" s="6"/>
      <c r="C62" s="6"/>
      <c r="D62" s="6"/>
      <c r="E62" s="6"/>
      <c r="F62" s="5"/>
      <c r="G62" s="5"/>
      <c r="H62" s="5"/>
      <c r="I62" s="6"/>
      <c r="J62" s="6"/>
      <c r="K62" s="6"/>
      <c r="L62" s="5"/>
      <c r="M62" s="5"/>
      <c r="N62" s="50"/>
      <c r="O62">
        <f>IF($A62="","",IF('Risk Matrix'!$B$3="Worst Credible",$G62,$L62))</f>
        <v>0</v>
      </c>
      <c r="P62">
        <f>IF($A62="","",IF('Risk Matrix'!$B$3="Worst Credible",$H62,$M62))</f>
        <v>0</v>
      </c>
      <c r="Q62">
        <f>IF($A62="","",COUNTIFS($O$7:O62,O62,$P$7:P62,P62))</f>
        <v>23</v>
      </c>
      <c r="R62" t="str">
        <f t="shared" si="0"/>
        <v>0|0|23</v>
      </c>
    </row>
    <row r="63" spans="1:18" ht="48" customHeight="1">
      <c r="A63" s="5">
        <v>57</v>
      </c>
      <c r="B63" s="6"/>
      <c r="C63" s="6"/>
      <c r="D63" s="6"/>
      <c r="E63" s="6"/>
      <c r="F63" s="5"/>
      <c r="G63" s="5"/>
      <c r="H63" s="5"/>
      <c r="I63" s="6"/>
      <c r="J63" s="6"/>
      <c r="K63" s="6"/>
      <c r="L63" s="5"/>
      <c r="M63" s="5"/>
      <c r="N63" s="50"/>
      <c r="O63">
        <f>IF($A63="","",IF('Risk Matrix'!$B$3="Worst Credible",$G63,$L63))</f>
        <v>0</v>
      </c>
      <c r="P63">
        <f>IF($A63="","",IF('Risk Matrix'!$B$3="Worst Credible",$H63,$M63))</f>
        <v>0</v>
      </c>
      <c r="Q63">
        <f>IF($A63="","",COUNTIFS($O$7:O63,O63,$P$7:P63,P63))</f>
        <v>24</v>
      </c>
      <c r="R63" t="str">
        <f t="shared" si="0"/>
        <v>0|0|24</v>
      </c>
    </row>
    <row r="64" spans="1:18" ht="48" customHeight="1">
      <c r="A64" s="5">
        <v>58</v>
      </c>
      <c r="B64" s="6"/>
      <c r="C64" s="6"/>
      <c r="D64" s="6"/>
      <c r="E64" s="6"/>
      <c r="F64" s="5"/>
      <c r="G64" s="5"/>
      <c r="H64" s="5"/>
      <c r="I64" s="6"/>
      <c r="J64" s="6"/>
      <c r="K64" s="6"/>
      <c r="L64" s="5"/>
      <c r="M64" s="5"/>
      <c r="N64" s="50"/>
      <c r="O64">
        <f>IF($A64="","",IF('Risk Matrix'!$B$3="Worst Credible",$G64,$L64))</f>
        <v>0</v>
      </c>
      <c r="P64">
        <f>IF($A64="","",IF('Risk Matrix'!$B$3="Worst Credible",$H64,$M64))</f>
        <v>0</v>
      </c>
      <c r="Q64">
        <f>IF($A64="","",COUNTIFS($O$7:O64,O64,$P$7:P64,P64))</f>
        <v>25</v>
      </c>
      <c r="R64" t="str">
        <f t="shared" si="0"/>
        <v>0|0|25</v>
      </c>
    </row>
    <row r="65" spans="1:18" ht="48" customHeight="1">
      <c r="A65" s="5">
        <v>59</v>
      </c>
      <c r="B65" s="6"/>
      <c r="C65" s="6"/>
      <c r="D65" s="6"/>
      <c r="E65" s="6"/>
      <c r="F65" s="5"/>
      <c r="G65" s="5"/>
      <c r="H65" s="5"/>
      <c r="I65" s="6"/>
      <c r="J65" s="6"/>
      <c r="K65" s="6"/>
      <c r="L65" s="5"/>
      <c r="M65" s="5"/>
      <c r="N65" s="50"/>
      <c r="O65">
        <f>IF($A65="","",IF('Risk Matrix'!$B$3="Worst Credible",$G65,$L65))</f>
        <v>0</v>
      </c>
      <c r="P65">
        <f>IF($A65="","",IF('Risk Matrix'!$B$3="Worst Credible",$H65,$M65))</f>
        <v>0</v>
      </c>
      <c r="Q65">
        <f>IF($A65="","",COUNTIFS($O$7:O65,O65,$P$7:P65,P65))</f>
        <v>26</v>
      </c>
      <c r="R65" t="str">
        <f t="shared" si="0"/>
        <v>0|0|26</v>
      </c>
    </row>
    <row r="66" spans="1:18" ht="48" customHeight="1">
      <c r="A66" s="5">
        <v>60</v>
      </c>
      <c r="B66" s="6"/>
      <c r="C66" s="6"/>
      <c r="D66" s="6"/>
      <c r="E66" s="6"/>
      <c r="F66" s="5"/>
      <c r="G66" s="5"/>
      <c r="H66" s="5"/>
      <c r="I66" s="6"/>
      <c r="J66" s="6"/>
      <c r="K66" s="6"/>
      <c r="L66" s="5"/>
      <c r="M66" s="5"/>
      <c r="N66" s="50"/>
      <c r="O66">
        <f>IF($A66="","",IF('Risk Matrix'!$B$3="Worst Credible",$G66,$L66))</f>
        <v>0</v>
      </c>
      <c r="P66">
        <f>IF($A66="","",IF('Risk Matrix'!$B$3="Worst Credible",$H66,$M66))</f>
        <v>0</v>
      </c>
      <c r="Q66">
        <f>IF($A66="","",COUNTIFS($O$7:O66,O66,$P$7:P66,P66))</f>
        <v>27</v>
      </c>
      <c r="R66" t="str">
        <f t="shared" si="0"/>
        <v>0|0|27</v>
      </c>
    </row>
    <row r="67" spans="1:18" ht="48" customHeight="1">
      <c r="A67" s="5">
        <v>61</v>
      </c>
      <c r="B67" s="6"/>
      <c r="C67" s="6"/>
      <c r="D67" s="6"/>
      <c r="E67" s="6"/>
      <c r="F67" s="5"/>
      <c r="G67" s="5"/>
      <c r="H67" s="5"/>
      <c r="I67" s="6"/>
      <c r="J67" s="6"/>
      <c r="K67" s="6"/>
      <c r="L67" s="5"/>
      <c r="M67" s="5"/>
      <c r="N67" s="50"/>
      <c r="O67">
        <f>IF($A67="","",IF('Risk Matrix'!$B$3="Worst Credible",$G67,$L67))</f>
        <v>0</v>
      </c>
      <c r="P67">
        <f>IF($A67="","",IF('Risk Matrix'!$B$3="Worst Credible",$H67,$M67))</f>
        <v>0</v>
      </c>
      <c r="Q67">
        <f>IF($A67="","",COUNTIFS($O$7:O67,O67,$P$7:P67,P67))</f>
        <v>28</v>
      </c>
      <c r="R67" t="str">
        <f t="shared" si="0"/>
        <v>0|0|28</v>
      </c>
    </row>
    <row r="68" spans="1:18" ht="48" customHeight="1">
      <c r="A68" s="5">
        <v>62</v>
      </c>
      <c r="B68" s="6"/>
      <c r="C68" s="6"/>
      <c r="D68" s="6"/>
      <c r="E68" s="6"/>
      <c r="F68" s="5"/>
      <c r="G68" s="5"/>
      <c r="H68" s="5"/>
      <c r="I68" s="6"/>
      <c r="J68" s="6"/>
      <c r="K68" s="6"/>
      <c r="L68" s="5"/>
      <c r="M68" s="5"/>
      <c r="N68" s="50"/>
      <c r="O68">
        <f>IF($A68="","",IF('Risk Matrix'!$B$3="Worst Credible",$G68,$L68))</f>
        <v>0</v>
      </c>
      <c r="P68">
        <f>IF($A68="","",IF('Risk Matrix'!$B$3="Worst Credible",$H68,$M68))</f>
        <v>0</v>
      </c>
      <c r="Q68">
        <f>IF($A68="","",COUNTIFS($O$7:O68,O68,$P$7:P68,P68))</f>
        <v>29</v>
      </c>
      <c r="R68" t="str">
        <f t="shared" si="0"/>
        <v>0|0|29</v>
      </c>
    </row>
    <row r="69" spans="1:18" ht="48" customHeight="1">
      <c r="A69" s="5">
        <v>63</v>
      </c>
      <c r="B69" s="6"/>
      <c r="C69" s="6"/>
      <c r="D69" s="6"/>
      <c r="E69" s="6"/>
      <c r="F69" s="5"/>
      <c r="G69" s="5"/>
      <c r="H69" s="5"/>
      <c r="I69" s="6"/>
      <c r="J69" s="6"/>
      <c r="K69" s="6"/>
      <c r="L69" s="5"/>
      <c r="M69" s="5"/>
      <c r="N69" s="50"/>
      <c r="O69">
        <f>IF($A69="","",IF('Risk Matrix'!$B$3="Worst Credible",$G69,$L69))</f>
        <v>0</v>
      </c>
      <c r="P69">
        <f>IF($A69="","",IF('Risk Matrix'!$B$3="Worst Credible",$H69,$M69))</f>
        <v>0</v>
      </c>
      <c r="Q69">
        <f>IF($A69="","",COUNTIFS($O$7:O69,O69,$P$7:P69,P69))</f>
        <v>30</v>
      </c>
      <c r="R69" t="str">
        <f t="shared" si="0"/>
        <v>0|0|30</v>
      </c>
    </row>
    <row r="70" spans="1:18" ht="48" customHeight="1">
      <c r="A70" s="5">
        <v>64</v>
      </c>
      <c r="B70" s="6"/>
      <c r="C70" s="6"/>
      <c r="D70" s="6"/>
      <c r="E70" s="6"/>
      <c r="F70" s="5"/>
      <c r="G70" s="5"/>
      <c r="H70" s="5"/>
      <c r="I70" s="6"/>
      <c r="J70" s="6"/>
      <c r="K70" s="6"/>
      <c r="L70" s="5"/>
      <c r="M70" s="5"/>
      <c r="N70" s="50"/>
      <c r="O70">
        <f>IF($A70="","",IF('Risk Matrix'!$B$3="Worst Credible",$G70,$L70))</f>
        <v>0</v>
      </c>
      <c r="P70">
        <f>IF($A70="","",IF('Risk Matrix'!$B$3="Worst Credible",$H70,$M70))</f>
        <v>0</v>
      </c>
      <c r="Q70">
        <f>IF($A70="","",COUNTIFS($O$7:O70,O70,$P$7:P70,P70))</f>
        <v>31</v>
      </c>
      <c r="R70" t="str">
        <f t="shared" ref="R70:R133" si="1">IF($A70="","",O70&amp;"|"&amp;P70&amp;"|"&amp;Q70)</f>
        <v>0|0|31</v>
      </c>
    </row>
    <row r="71" spans="1:18" ht="48" customHeight="1">
      <c r="A71" s="5">
        <v>65</v>
      </c>
      <c r="B71" s="6"/>
      <c r="C71" s="6"/>
      <c r="D71" s="6"/>
      <c r="E71" s="6"/>
      <c r="F71" s="5"/>
      <c r="G71" s="5"/>
      <c r="H71" s="5"/>
      <c r="I71" s="6"/>
      <c r="J71" s="6"/>
      <c r="K71" s="6"/>
      <c r="L71" s="5"/>
      <c r="M71" s="5"/>
      <c r="N71" s="50"/>
      <c r="O71">
        <f>IF($A71="","",IF('Risk Matrix'!$B$3="Worst Credible",$G71,$L71))</f>
        <v>0</v>
      </c>
      <c r="P71">
        <f>IF($A71="","",IF('Risk Matrix'!$B$3="Worst Credible",$H71,$M71))</f>
        <v>0</v>
      </c>
      <c r="Q71">
        <f>IF($A71="","",COUNTIFS($O$7:O71,O71,$P$7:P71,P71))</f>
        <v>32</v>
      </c>
      <c r="R71" t="str">
        <f t="shared" si="1"/>
        <v>0|0|32</v>
      </c>
    </row>
    <row r="72" spans="1:18" ht="48" customHeight="1">
      <c r="A72" s="5">
        <v>66</v>
      </c>
      <c r="B72" s="6"/>
      <c r="C72" s="6"/>
      <c r="D72" s="6"/>
      <c r="E72" s="6"/>
      <c r="F72" s="5"/>
      <c r="G72" s="5"/>
      <c r="H72" s="5"/>
      <c r="I72" s="6"/>
      <c r="J72" s="6"/>
      <c r="K72" s="6"/>
      <c r="L72" s="5"/>
      <c r="M72" s="5"/>
      <c r="N72" s="50"/>
      <c r="O72">
        <f>IF($A72="","",IF('Risk Matrix'!$B$3="Worst Credible",$G72,$L72))</f>
        <v>0</v>
      </c>
      <c r="P72">
        <f>IF($A72="","",IF('Risk Matrix'!$B$3="Worst Credible",$H72,$M72))</f>
        <v>0</v>
      </c>
      <c r="Q72">
        <f>IF($A72="","",COUNTIFS($O$7:O72,O72,$P$7:P72,P72))</f>
        <v>33</v>
      </c>
      <c r="R72" t="str">
        <f t="shared" si="1"/>
        <v>0|0|33</v>
      </c>
    </row>
    <row r="73" spans="1:18" ht="48" customHeight="1">
      <c r="A73" s="5">
        <v>67</v>
      </c>
      <c r="B73" s="6"/>
      <c r="C73" s="6"/>
      <c r="D73" s="6"/>
      <c r="E73" s="6"/>
      <c r="F73" s="5"/>
      <c r="G73" s="5"/>
      <c r="H73" s="5"/>
      <c r="I73" s="6"/>
      <c r="J73" s="6"/>
      <c r="K73" s="6"/>
      <c r="L73" s="5"/>
      <c r="M73" s="5"/>
      <c r="N73" s="50"/>
      <c r="O73">
        <f>IF($A73="","",IF('Risk Matrix'!$B$3="Worst Credible",$G73,$L73))</f>
        <v>0</v>
      </c>
      <c r="P73">
        <f>IF($A73="","",IF('Risk Matrix'!$B$3="Worst Credible",$H73,$M73))</f>
        <v>0</v>
      </c>
      <c r="Q73">
        <f>IF($A73="","",COUNTIFS($O$7:O73,O73,$P$7:P73,P73))</f>
        <v>34</v>
      </c>
      <c r="R73" t="str">
        <f t="shared" si="1"/>
        <v>0|0|34</v>
      </c>
    </row>
    <row r="74" spans="1:18" ht="48" customHeight="1">
      <c r="A74" s="5">
        <v>68</v>
      </c>
      <c r="B74" s="6"/>
      <c r="C74" s="6"/>
      <c r="D74" s="6"/>
      <c r="E74" s="6"/>
      <c r="F74" s="5"/>
      <c r="G74" s="5"/>
      <c r="H74" s="5"/>
      <c r="I74" s="6"/>
      <c r="J74" s="6"/>
      <c r="K74" s="6"/>
      <c r="L74" s="5"/>
      <c r="M74" s="5"/>
      <c r="N74" s="50"/>
      <c r="O74">
        <f>IF($A74="","",IF('Risk Matrix'!$B$3="Worst Credible",$G74,$L74))</f>
        <v>0</v>
      </c>
      <c r="P74">
        <f>IF($A74="","",IF('Risk Matrix'!$B$3="Worst Credible",$H74,$M74))</f>
        <v>0</v>
      </c>
      <c r="Q74">
        <f>IF($A74="","",COUNTIFS($O$7:O74,O74,$P$7:P74,P74))</f>
        <v>35</v>
      </c>
      <c r="R74" t="str">
        <f t="shared" si="1"/>
        <v>0|0|35</v>
      </c>
    </row>
    <row r="75" spans="1:18" ht="48" customHeight="1">
      <c r="A75" s="5">
        <v>69</v>
      </c>
      <c r="B75" s="6"/>
      <c r="C75" s="6"/>
      <c r="D75" s="6"/>
      <c r="E75" s="6"/>
      <c r="F75" s="5"/>
      <c r="G75" s="5"/>
      <c r="H75" s="5"/>
      <c r="I75" s="6"/>
      <c r="J75" s="6"/>
      <c r="K75" s="6"/>
      <c r="L75" s="5"/>
      <c r="M75" s="5"/>
      <c r="N75" s="50"/>
      <c r="O75">
        <f>IF($A75="","",IF('Risk Matrix'!$B$3="Worst Credible",$G75,$L75))</f>
        <v>0</v>
      </c>
      <c r="P75">
        <f>IF($A75="","",IF('Risk Matrix'!$B$3="Worst Credible",$H75,$M75))</f>
        <v>0</v>
      </c>
      <c r="Q75">
        <f>IF($A75="","",COUNTIFS($O$7:O75,O75,$P$7:P75,P75))</f>
        <v>36</v>
      </c>
      <c r="R75" t="str">
        <f t="shared" si="1"/>
        <v>0|0|36</v>
      </c>
    </row>
    <row r="76" spans="1:18" ht="48" customHeight="1">
      <c r="A76" s="5">
        <v>70</v>
      </c>
      <c r="B76" s="6"/>
      <c r="C76" s="6"/>
      <c r="D76" s="6"/>
      <c r="E76" s="6"/>
      <c r="F76" s="5"/>
      <c r="G76" s="5"/>
      <c r="H76" s="5"/>
      <c r="I76" s="6"/>
      <c r="J76" s="6"/>
      <c r="K76" s="6"/>
      <c r="L76" s="5"/>
      <c r="M76" s="5"/>
      <c r="N76" s="50"/>
      <c r="O76">
        <f>IF($A76="","",IF('Risk Matrix'!$B$3="Worst Credible",$G76,$L76))</f>
        <v>0</v>
      </c>
      <c r="P76">
        <f>IF($A76="","",IF('Risk Matrix'!$B$3="Worst Credible",$H76,$M76))</f>
        <v>0</v>
      </c>
      <c r="Q76">
        <f>IF($A76="","",COUNTIFS($O$7:O76,O76,$P$7:P76,P76))</f>
        <v>37</v>
      </c>
      <c r="R76" t="str">
        <f t="shared" si="1"/>
        <v>0|0|37</v>
      </c>
    </row>
    <row r="77" spans="1:18" ht="48" customHeight="1">
      <c r="A77" s="5">
        <v>71</v>
      </c>
      <c r="B77" s="6"/>
      <c r="C77" s="6"/>
      <c r="D77" s="6"/>
      <c r="E77" s="6"/>
      <c r="F77" s="5"/>
      <c r="G77" s="5"/>
      <c r="H77" s="5"/>
      <c r="I77" s="6"/>
      <c r="J77" s="6"/>
      <c r="K77" s="6"/>
      <c r="L77" s="5"/>
      <c r="M77" s="5"/>
      <c r="N77" s="50"/>
      <c r="O77">
        <f>IF($A77="","",IF('Risk Matrix'!$B$3="Worst Credible",$G77,$L77))</f>
        <v>0</v>
      </c>
      <c r="P77">
        <f>IF($A77="","",IF('Risk Matrix'!$B$3="Worst Credible",$H77,$M77))</f>
        <v>0</v>
      </c>
      <c r="Q77">
        <f>IF($A77="","",COUNTIFS($O$7:O77,O77,$P$7:P77,P77))</f>
        <v>38</v>
      </c>
      <c r="R77" t="str">
        <f t="shared" si="1"/>
        <v>0|0|38</v>
      </c>
    </row>
    <row r="78" spans="1:18" ht="48" customHeight="1">
      <c r="A78" s="5">
        <v>72</v>
      </c>
      <c r="B78" s="6"/>
      <c r="C78" s="6"/>
      <c r="D78" s="6"/>
      <c r="E78" s="6"/>
      <c r="F78" s="5"/>
      <c r="G78" s="5"/>
      <c r="H78" s="5"/>
      <c r="I78" s="6"/>
      <c r="J78" s="6"/>
      <c r="K78" s="6"/>
      <c r="L78" s="5"/>
      <c r="M78" s="5"/>
      <c r="N78" s="50"/>
      <c r="O78">
        <f>IF($A78="","",IF('Risk Matrix'!$B$3="Worst Credible",$G78,$L78))</f>
        <v>0</v>
      </c>
      <c r="P78">
        <f>IF($A78="","",IF('Risk Matrix'!$B$3="Worst Credible",$H78,$M78))</f>
        <v>0</v>
      </c>
      <c r="Q78">
        <f>IF($A78="","",COUNTIFS($O$7:O78,O78,$P$7:P78,P78))</f>
        <v>39</v>
      </c>
      <c r="R78" t="str">
        <f t="shared" si="1"/>
        <v>0|0|39</v>
      </c>
    </row>
    <row r="79" spans="1:18" ht="48" customHeight="1">
      <c r="A79" s="5">
        <v>73</v>
      </c>
      <c r="B79" s="6"/>
      <c r="C79" s="6"/>
      <c r="D79" s="6"/>
      <c r="E79" s="6"/>
      <c r="F79" s="5"/>
      <c r="G79" s="5"/>
      <c r="H79" s="5"/>
      <c r="I79" s="6"/>
      <c r="J79" s="6"/>
      <c r="K79" s="6"/>
      <c r="L79" s="5"/>
      <c r="M79" s="5"/>
      <c r="N79" s="50"/>
      <c r="O79">
        <f>IF($A79="","",IF('Risk Matrix'!$B$3="Worst Credible",$G79,$L79))</f>
        <v>0</v>
      </c>
      <c r="P79">
        <f>IF($A79="","",IF('Risk Matrix'!$B$3="Worst Credible",$H79,$M79))</f>
        <v>0</v>
      </c>
      <c r="Q79">
        <f>IF($A79="","",COUNTIFS($O$7:O79,O79,$P$7:P79,P79))</f>
        <v>40</v>
      </c>
      <c r="R79" t="str">
        <f t="shared" si="1"/>
        <v>0|0|40</v>
      </c>
    </row>
    <row r="80" spans="1:18" ht="48" customHeight="1">
      <c r="A80" s="5">
        <v>74</v>
      </c>
      <c r="B80" s="6"/>
      <c r="C80" s="6"/>
      <c r="D80" s="6"/>
      <c r="E80" s="6"/>
      <c r="F80" s="5"/>
      <c r="G80" s="5"/>
      <c r="H80" s="5"/>
      <c r="I80" s="6"/>
      <c r="J80" s="6"/>
      <c r="K80" s="6"/>
      <c r="L80" s="5"/>
      <c r="M80" s="5"/>
      <c r="N80" s="50"/>
      <c r="O80">
        <f>IF($A80="","",IF('Risk Matrix'!$B$3="Worst Credible",$G80,$L80))</f>
        <v>0</v>
      </c>
      <c r="P80">
        <f>IF($A80="","",IF('Risk Matrix'!$B$3="Worst Credible",$H80,$M80))</f>
        <v>0</v>
      </c>
      <c r="Q80">
        <f>IF($A80="","",COUNTIFS($O$7:O80,O80,$P$7:P80,P80))</f>
        <v>41</v>
      </c>
      <c r="R80" t="str">
        <f t="shared" si="1"/>
        <v>0|0|41</v>
      </c>
    </row>
    <row r="81" spans="1:18" ht="48" customHeight="1">
      <c r="A81" s="5">
        <v>75</v>
      </c>
      <c r="B81" s="6"/>
      <c r="C81" s="6"/>
      <c r="D81" s="6"/>
      <c r="E81" s="6"/>
      <c r="F81" s="5"/>
      <c r="G81" s="5"/>
      <c r="H81" s="5"/>
      <c r="I81" s="6"/>
      <c r="J81" s="6"/>
      <c r="K81" s="6"/>
      <c r="L81" s="5"/>
      <c r="M81" s="5"/>
      <c r="N81" s="50"/>
      <c r="O81">
        <f>IF($A81="","",IF('Risk Matrix'!$B$3="Worst Credible",$G81,$L81))</f>
        <v>0</v>
      </c>
      <c r="P81">
        <f>IF($A81="","",IF('Risk Matrix'!$B$3="Worst Credible",$H81,$M81))</f>
        <v>0</v>
      </c>
      <c r="Q81">
        <f>IF($A81="","",COUNTIFS($O$7:O81,O81,$P$7:P81,P81))</f>
        <v>42</v>
      </c>
      <c r="R81" t="str">
        <f t="shared" si="1"/>
        <v>0|0|42</v>
      </c>
    </row>
    <row r="82" spans="1:18" ht="48" customHeight="1">
      <c r="A82" s="5">
        <v>76</v>
      </c>
      <c r="B82" s="6"/>
      <c r="C82" s="6"/>
      <c r="D82" s="6"/>
      <c r="E82" s="6"/>
      <c r="F82" s="5"/>
      <c r="G82" s="5"/>
      <c r="H82" s="5"/>
      <c r="I82" s="6"/>
      <c r="J82" s="6"/>
      <c r="K82" s="6"/>
      <c r="L82" s="5"/>
      <c r="M82" s="5"/>
      <c r="N82" s="50"/>
      <c r="O82">
        <f>IF($A82="","",IF('Risk Matrix'!$B$3="Worst Credible",$G82,$L82))</f>
        <v>0</v>
      </c>
      <c r="P82">
        <f>IF($A82="","",IF('Risk Matrix'!$B$3="Worst Credible",$H82,$M82))</f>
        <v>0</v>
      </c>
      <c r="Q82">
        <f>IF($A82="","",COUNTIFS($O$7:O82,O82,$P$7:P82,P82))</f>
        <v>43</v>
      </c>
      <c r="R82" t="str">
        <f t="shared" si="1"/>
        <v>0|0|43</v>
      </c>
    </row>
    <row r="83" spans="1:18" ht="48" customHeight="1">
      <c r="A83" s="5">
        <v>77</v>
      </c>
      <c r="B83" s="6"/>
      <c r="C83" s="6"/>
      <c r="D83" s="6"/>
      <c r="E83" s="6"/>
      <c r="F83" s="5"/>
      <c r="G83" s="5"/>
      <c r="H83" s="5"/>
      <c r="I83" s="6"/>
      <c r="J83" s="6"/>
      <c r="K83" s="6"/>
      <c r="L83" s="5"/>
      <c r="M83" s="5"/>
      <c r="N83" s="50"/>
      <c r="O83">
        <f>IF($A83="","",IF('Risk Matrix'!$B$3="Worst Credible",$G83,$L83))</f>
        <v>0</v>
      </c>
      <c r="P83">
        <f>IF($A83="","",IF('Risk Matrix'!$B$3="Worst Credible",$H83,$M83))</f>
        <v>0</v>
      </c>
      <c r="Q83">
        <f>IF($A83="","",COUNTIFS($O$7:O83,O83,$P$7:P83,P83))</f>
        <v>44</v>
      </c>
      <c r="R83" t="str">
        <f t="shared" si="1"/>
        <v>0|0|44</v>
      </c>
    </row>
    <row r="84" spans="1:18" ht="48" customHeight="1">
      <c r="A84" s="5">
        <v>78</v>
      </c>
      <c r="B84" s="6"/>
      <c r="C84" s="6"/>
      <c r="D84" s="6"/>
      <c r="E84" s="6"/>
      <c r="F84" s="5"/>
      <c r="G84" s="5"/>
      <c r="H84" s="5"/>
      <c r="I84" s="6"/>
      <c r="J84" s="6"/>
      <c r="K84" s="6"/>
      <c r="L84" s="5"/>
      <c r="M84" s="5"/>
      <c r="N84" s="50"/>
      <c r="O84">
        <f>IF($A84="","",IF('Risk Matrix'!$B$3="Worst Credible",$G84,$L84))</f>
        <v>0</v>
      </c>
      <c r="P84">
        <f>IF($A84="","",IF('Risk Matrix'!$B$3="Worst Credible",$H84,$M84))</f>
        <v>0</v>
      </c>
      <c r="Q84">
        <f>IF($A84="","",COUNTIFS($O$7:O84,O84,$P$7:P84,P84))</f>
        <v>45</v>
      </c>
      <c r="R84" t="str">
        <f t="shared" si="1"/>
        <v>0|0|45</v>
      </c>
    </row>
    <row r="85" spans="1:18" ht="48" customHeight="1">
      <c r="A85" s="5">
        <v>79</v>
      </c>
      <c r="B85" s="6"/>
      <c r="C85" s="6"/>
      <c r="D85" s="6"/>
      <c r="E85" s="6"/>
      <c r="F85" s="5"/>
      <c r="G85" s="5"/>
      <c r="H85" s="5"/>
      <c r="I85" s="6"/>
      <c r="J85" s="6"/>
      <c r="K85" s="6"/>
      <c r="L85" s="5"/>
      <c r="M85" s="5"/>
      <c r="N85" s="50"/>
      <c r="O85">
        <f>IF($A85="","",IF('Risk Matrix'!$B$3="Worst Credible",$G85,$L85))</f>
        <v>0</v>
      </c>
      <c r="P85">
        <f>IF($A85="","",IF('Risk Matrix'!$B$3="Worst Credible",$H85,$M85))</f>
        <v>0</v>
      </c>
      <c r="Q85">
        <f>IF($A85="","",COUNTIFS($O$7:O85,O85,$P$7:P85,P85))</f>
        <v>46</v>
      </c>
      <c r="R85" t="str">
        <f t="shared" si="1"/>
        <v>0|0|46</v>
      </c>
    </row>
    <row r="86" spans="1:18" ht="48" customHeight="1">
      <c r="A86" s="5">
        <v>80</v>
      </c>
      <c r="B86" s="6"/>
      <c r="C86" s="6"/>
      <c r="D86" s="6"/>
      <c r="E86" s="6"/>
      <c r="F86" s="5"/>
      <c r="G86" s="5"/>
      <c r="H86" s="5"/>
      <c r="I86" s="6"/>
      <c r="J86" s="6"/>
      <c r="K86" s="6"/>
      <c r="L86" s="5"/>
      <c r="M86" s="5"/>
      <c r="N86" s="50"/>
      <c r="O86">
        <f>IF($A86="","",IF('Risk Matrix'!$B$3="Worst Credible",$G86,$L86))</f>
        <v>0</v>
      </c>
      <c r="P86">
        <f>IF($A86="","",IF('Risk Matrix'!$B$3="Worst Credible",$H86,$M86))</f>
        <v>0</v>
      </c>
      <c r="Q86">
        <f>IF($A86="","",COUNTIFS($O$7:O86,O86,$P$7:P86,P86))</f>
        <v>47</v>
      </c>
      <c r="R86" t="str">
        <f t="shared" si="1"/>
        <v>0|0|47</v>
      </c>
    </row>
    <row r="87" spans="1:18" ht="48" customHeight="1">
      <c r="A87" s="5">
        <v>81</v>
      </c>
      <c r="B87" s="6"/>
      <c r="C87" s="6"/>
      <c r="D87" s="6"/>
      <c r="E87" s="6"/>
      <c r="F87" s="5"/>
      <c r="G87" s="5"/>
      <c r="H87" s="5"/>
      <c r="I87" s="6"/>
      <c r="J87" s="6"/>
      <c r="K87" s="6"/>
      <c r="L87" s="5"/>
      <c r="M87" s="5"/>
      <c r="N87" s="50"/>
      <c r="O87">
        <f>IF($A87="","",IF('Risk Matrix'!$B$3="Worst Credible",$G87,$L87))</f>
        <v>0</v>
      </c>
      <c r="P87">
        <f>IF($A87="","",IF('Risk Matrix'!$B$3="Worst Credible",$H87,$M87))</f>
        <v>0</v>
      </c>
      <c r="Q87">
        <f>IF($A87="","",COUNTIFS($O$7:O87,O87,$P$7:P87,P87))</f>
        <v>48</v>
      </c>
      <c r="R87" t="str">
        <f t="shared" si="1"/>
        <v>0|0|48</v>
      </c>
    </row>
    <row r="88" spans="1:18" ht="48" customHeight="1">
      <c r="A88" s="5">
        <v>82</v>
      </c>
      <c r="B88" s="6"/>
      <c r="C88" s="6"/>
      <c r="D88" s="6"/>
      <c r="E88" s="6"/>
      <c r="F88" s="5"/>
      <c r="G88" s="5"/>
      <c r="H88" s="5"/>
      <c r="I88" s="6"/>
      <c r="J88" s="6"/>
      <c r="K88" s="6"/>
      <c r="L88" s="5"/>
      <c r="M88" s="5"/>
      <c r="N88" s="50"/>
      <c r="O88">
        <f>IF($A88="","",IF('Risk Matrix'!$B$3="Worst Credible",$G88,$L88))</f>
        <v>0</v>
      </c>
      <c r="P88">
        <f>IF($A88="","",IF('Risk Matrix'!$B$3="Worst Credible",$H88,$M88))</f>
        <v>0</v>
      </c>
      <c r="Q88">
        <f>IF($A88="","",COUNTIFS($O$7:O88,O88,$P$7:P88,P88))</f>
        <v>49</v>
      </c>
      <c r="R88" t="str">
        <f t="shared" si="1"/>
        <v>0|0|49</v>
      </c>
    </row>
    <row r="89" spans="1:18" ht="48" customHeight="1">
      <c r="A89" s="5">
        <v>83</v>
      </c>
      <c r="B89" s="6"/>
      <c r="C89" s="6"/>
      <c r="D89" s="6"/>
      <c r="E89" s="6"/>
      <c r="F89" s="5"/>
      <c r="G89" s="5"/>
      <c r="H89" s="5"/>
      <c r="I89" s="6"/>
      <c r="J89" s="6"/>
      <c r="K89" s="6"/>
      <c r="L89" s="5"/>
      <c r="M89" s="5"/>
      <c r="N89" s="50"/>
      <c r="O89">
        <f>IF($A89="","",IF('Risk Matrix'!$B$3="Worst Credible",$G89,$L89))</f>
        <v>0</v>
      </c>
      <c r="P89">
        <f>IF($A89="","",IF('Risk Matrix'!$B$3="Worst Credible",$H89,$M89))</f>
        <v>0</v>
      </c>
      <c r="Q89">
        <f>IF($A89="","",COUNTIFS($O$7:O89,O89,$P$7:P89,P89))</f>
        <v>50</v>
      </c>
      <c r="R89" t="str">
        <f t="shared" si="1"/>
        <v>0|0|50</v>
      </c>
    </row>
    <row r="90" spans="1:18" ht="48" customHeight="1">
      <c r="A90" s="5">
        <v>84</v>
      </c>
      <c r="B90" s="6"/>
      <c r="C90" s="6"/>
      <c r="D90" s="6"/>
      <c r="E90" s="6"/>
      <c r="F90" s="5"/>
      <c r="G90" s="5"/>
      <c r="H90" s="5"/>
      <c r="I90" s="6"/>
      <c r="J90" s="6"/>
      <c r="K90" s="6"/>
      <c r="L90" s="5"/>
      <c r="M90" s="5"/>
      <c r="N90" s="50"/>
      <c r="O90">
        <f>IF($A90="","",IF('Risk Matrix'!$B$3="Worst Credible",$G90,$L90))</f>
        <v>0</v>
      </c>
      <c r="P90">
        <f>IF($A90="","",IF('Risk Matrix'!$B$3="Worst Credible",$H90,$M90))</f>
        <v>0</v>
      </c>
      <c r="Q90">
        <f>IF($A90="","",COUNTIFS($O$7:O90,O90,$P$7:P90,P90))</f>
        <v>51</v>
      </c>
      <c r="R90" t="str">
        <f t="shared" si="1"/>
        <v>0|0|51</v>
      </c>
    </row>
    <row r="91" spans="1:18" ht="48" customHeight="1">
      <c r="A91" s="5">
        <v>85</v>
      </c>
      <c r="B91" s="6"/>
      <c r="C91" s="6"/>
      <c r="D91" s="6"/>
      <c r="E91" s="6"/>
      <c r="F91" s="5"/>
      <c r="G91" s="5"/>
      <c r="H91" s="5"/>
      <c r="I91" s="6"/>
      <c r="J91" s="6"/>
      <c r="K91" s="6"/>
      <c r="L91" s="5"/>
      <c r="M91" s="5"/>
      <c r="N91" s="50"/>
      <c r="O91">
        <f>IF($A91="","",IF('Risk Matrix'!$B$3="Worst Credible",$G91,$L91))</f>
        <v>0</v>
      </c>
      <c r="P91">
        <f>IF($A91="","",IF('Risk Matrix'!$B$3="Worst Credible",$H91,$M91))</f>
        <v>0</v>
      </c>
      <c r="Q91">
        <f>IF($A91="","",COUNTIFS($O$7:O91,O91,$P$7:P91,P91))</f>
        <v>52</v>
      </c>
      <c r="R91" t="str">
        <f t="shared" si="1"/>
        <v>0|0|52</v>
      </c>
    </row>
    <row r="92" spans="1:18" ht="48" customHeight="1">
      <c r="A92" s="5">
        <v>86</v>
      </c>
      <c r="B92" s="6"/>
      <c r="C92" s="6"/>
      <c r="D92" s="6"/>
      <c r="E92" s="6"/>
      <c r="F92" s="5"/>
      <c r="G92" s="5"/>
      <c r="H92" s="5"/>
      <c r="I92" s="6"/>
      <c r="J92" s="6"/>
      <c r="K92" s="6"/>
      <c r="L92" s="5"/>
      <c r="M92" s="5"/>
      <c r="N92" s="50"/>
      <c r="O92">
        <f>IF($A92="","",IF('Risk Matrix'!$B$3="Worst Credible",$G92,$L92))</f>
        <v>0</v>
      </c>
      <c r="P92">
        <f>IF($A92="","",IF('Risk Matrix'!$B$3="Worst Credible",$H92,$M92))</f>
        <v>0</v>
      </c>
      <c r="Q92">
        <f>IF($A92="","",COUNTIFS($O$7:O92,O92,$P$7:P92,P92))</f>
        <v>53</v>
      </c>
      <c r="R92" t="str">
        <f t="shared" si="1"/>
        <v>0|0|53</v>
      </c>
    </row>
    <row r="93" spans="1:18" ht="48" customHeight="1">
      <c r="A93" s="5">
        <v>87</v>
      </c>
      <c r="B93" s="6"/>
      <c r="C93" s="6"/>
      <c r="D93" s="6"/>
      <c r="E93" s="6"/>
      <c r="F93" s="5"/>
      <c r="G93" s="5"/>
      <c r="H93" s="5"/>
      <c r="I93" s="6"/>
      <c r="J93" s="6"/>
      <c r="K93" s="6"/>
      <c r="L93" s="5"/>
      <c r="M93" s="5"/>
      <c r="N93" s="50"/>
      <c r="O93">
        <f>IF($A93="","",IF('Risk Matrix'!$B$3="Worst Credible",$G93,$L93))</f>
        <v>0</v>
      </c>
      <c r="P93">
        <f>IF($A93="","",IF('Risk Matrix'!$B$3="Worst Credible",$H93,$M93))</f>
        <v>0</v>
      </c>
      <c r="Q93">
        <f>IF($A93="","",COUNTIFS($O$7:O93,O93,$P$7:P93,P93))</f>
        <v>54</v>
      </c>
      <c r="R93" t="str">
        <f t="shared" si="1"/>
        <v>0|0|54</v>
      </c>
    </row>
    <row r="94" spans="1:18" ht="48" customHeight="1">
      <c r="A94" s="5">
        <v>88</v>
      </c>
      <c r="B94" s="6"/>
      <c r="C94" s="6"/>
      <c r="D94" s="6"/>
      <c r="E94" s="6"/>
      <c r="F94" s="5"/>
      <c r="G94" s="5"/>
      <c r="H94" s="5"/>
      <c r="I94" s="6"/>
      <c r="J94" s="6"/>
      <c r="K94" s="6"/>
      <c r="L94" s="5"/>
      <c r="M94" s="5"/>
      <c r="N94" s="50"/>
      <c r="O94">
        <f>IF($A94="","",IF('Risk Matrix'!$B$3="Worst Credible",$G94,$L94))</f>
        <v>0</v>
      </c>
      <c r="P94">
        <f>IF($A94="","",IF('Risk Matrix'!$B$3="Worst Credible",$H94,$M94))</f>
        <v>0</v>
      </c>
      <c r="Q94">
        <f>IF($A94="","",COUNTIFS($O$7:O94,O94,$P$7:P94,P94))</f>
        <v>55</v>
      </c>
      <c r="R94" t="str">
        <f t="shared" si="1"/>
        <v>0|0|55</v>
      </c>
    </row>
    <row r="95" spans="1:18" ht="48" customHeight="1">
      <c r="A95" s="5">
        <v>89</v>
      </c>
      <c r="B95" s="6"/>
      <c r="C95" s="6"/>
      <c r="D95" s="6"/>
      <c r="E95" s="6"/>
      <c r="F95" s="5"/>
      <c r="G95" s="5"/>
      <c r="H95" s="5"/>
      <c r="I95" s="6"/>
      <c r="J95" s="6"/>
      <c r="K95" s="6"/>
      <c r="L95" s="5"/>
      <c r="M95" s="5"/>
      <c r="N95" s="50"/>
      <c r="O95">
        <f>IF($A95="","",IF('Risk Matrix'!$B$3="Worst Credible",$G95,$L95))</f>
        <v>0</v>
      </c>
      <c r="P95">
        <f>IF($A95="","",IF('Risk Matrix'!$B$3="Worst Credible",$H95,$M95))</f>
        <v>0</v>
      </c>
      <c r="Q95">
        <f>IF($A95="","",COUNTIFS($O$7:O95,O95,$P$7:P95,P95))</f>
        <v>56</v>
      </c>
      <c r="R95" t="str">
        <f t="shared" si="1"/>
        <v>0|0|56</v>
      </c>
    </row>
    <row r="96" spans="1:18" ht="48" customHeight="1">
      <c r="A96" s="5">
        <v>90</v>
      </c>
      <c r="B96" s="6"/>
      <c r="C96" s="6"/>
      <c r="D96" s="6"/>
      <c r="E96" s="6"/>
      <c r="F96" s="5"/>
      <c r="G96" s="5"/>
      <c r="H96" s="5"/>
      <c r="I96" s="6"/>
      <c r="J96" s="6"/>
      <c r="K96" s="6"/>
      <c r="L96" s="5"/>
      <c r="M96" s="5"/>
      <c r="N96" s="50"/>
      <c r="O96">
        <f>IF($A96="","",IF('Risk Matrix'!$B$3="Worst Credible",$G96,$L96))</f>
        <v>0</v>
      </c>
      <c r="P96">
        <f>IF($A96="","",IF('Risk Matrix'!$B$3="Worst Credible",$H96,$M96))</f>
        <v>0</v>
      </c>
      <c r="Q96">
        <f>IF($A96="","",COUNTIFS($O$7:O96,O96,$P$7:P96,P96))</f>
        <v>57</v>
      </c>
      <c r="R96" t="str">
        <f t="shared" si="1"/>
        <v>0|0|57</v>
      </c>
    </row>
    <row r="97" spans="1:18" ht="48" customHeight="1">
      <c r="A97" s="5">
        <v>91</v>
      </c>
      <c r="B97" s="6"/>
      <c r="C97" s="6"/>
      <c r="D97" s="6"/>
      <c r="E97" s="6"/>
      <c r="F97" s="5"/>
      <c r="G97" s="5"/>
      <c r="H97" s="5"/>
      <c r="I97" s="6"/>
      <c r="J97" s="6"/>
      <c r="K97" s="6"/>
      <c r="L97" s="5"/>
      <c r="M97" s="5"/>
      <c r="N97" s="50"/>
      <c r="O97">
        <f>IF($A97="","",IF('Risk Matrix'!$B$3="Worst Credible",$G97,$L97))</f>
        <v>0</v>
      </c>
      <c r="P97">
        <f>IF($A97="","",IF('Risk Matrix'!$B$3="Worst Credible",$H97,$M97))</f>
        <v>0</v>
      </c>
      <c r="Q97">
        <f>IF($A97="","",COUNTIFS($O$7:O97,O97,$P$7:P97,P97))</f>
        <v>58</v>
      </c>
      <c r="R97" t="str">
        <f t="shared" si="1"/>
        <v>0|0|58</v>
      </c>
    </row>
    <row r="98" spans="1:18" ht="48" customHeight="1">
      <c r="A98" s="5">
        <v>92</v>
      </c>
      <c r="B98" s="6"/>
      <c r="C98" s="6"/>
      <c r="D98" s="6"/>
      <c r="E98" s="6"/>
      <c r="F98" s="5"/>
      <c r="G98" s="5"/>
      <c r="H98" s="5"/>
      <c r="I98" s="6"/>
      <c r="J98" s="6"/>
      <c r="K98" s="6"/>
      <c r="L98" s="5"/>
      <c r="M98" s="5"/>
      <c r="N98" s="50"/>
      <c r="O98">
        <f>IF($A98="","",IF('Risk Matrix'!$B$3="Worst Credible",$G98,$L98))</f>
        <v>0</v>
      </c>
      <c r="P98">
        <f>IF($A98="","",IF('Risk Matrix'!$B$3="Worst Credible",$H98,$M98))</f>
        <v>0</v>
      </c>
      <c r="Q98">
        <f>IF($A98="","",COUNTIFS($O$7:O98,O98,$P$7:P98,P98))</f>
        <v>59</v>
      </c>
      <c r="R98" t="str">
        <f t="shared" si="1"/>
        <v>0|0|59</v>
      </c>
    </row>
    <row r="99" spans="1:18" ht="48" customHeight="1">
      <c r="A99" s="5">
        <v>93</v>
      </c>
      <c r="B99" s="6"/>
      <c r="C99" s="6"/>
      <c r="D99" s="6"/>
      <c r="E99" s="6"/>
      <c r="F99" s="5"/>
      <c r="G99" s="5"/>
      <c r="H99" s="5"/>
      <c r="I99" s="6"/>
      <c r="J99" s="6"/>
      <c r="K99" s="6"/>
      <c r="L99" s="5"/>
      <c r="M99" s="5"/>
      <c r="N99" s="50"/>
      <c r="O99">
        <f>IF($A99="","",IF('Risk Matrix'!$B$3="Worst Credible",$G99,$L99))</f>
        <v>0</v>
      </c>
      <c r="P99">
        <f>IF($A99="","",IF('Risk Matrix'!$B$3="Worst Credible",$H99,$M99))</f>
        <v>0</v>
      </c>
      <c r="Q99">
        <f>IF($A99="","",COUNTIFS($O$7:O99,O99,$P$7:P99,P99))</f>
        <v>60</v>
      </c>
      <c r="R99" t="str">
        <f t="shared" si="1"/>
        <v>0|0|60</v>
      </c>
    </row>
    <row r="100" spans="1:18" ht="48" customHeight="1">
      <c r="A100" s="5">
        <v>94</v>
      </c>
      <c r="B100" s="6"/>
      <c r="C100" s="6"/>
      <c r="D100" s="6"/>
      <c r="E100" s="6"/>
      <c r="F100" s="5"/>
      <c r="G100" s="5"/>
      <c r="H100" s="5"/>
      <c r="I100" s="6"/>
      <c r="J100" s="6"/>
      <c r="K100" s="6"/>
      <c r="L100" s="5"/>
      <c r="M100" s="5"/>
      <c r="N100" s="50"/>
      <c r="O100">
        <f>IF($A100="","",IF('Risk Matrix'!$B$3="Worst Credible",$G100,$L100))</f>
        <v>0</v>
      </c>
      <c r="P100">
        <f>IF($A100="","",IF('Risk Matrix'!$B$3="Worst Credible",$H100,$M100))</f>
        <v>0</v>
      </c>
      <c r="Q100">
        <f>IF($A100="","",COUNTIFS($O$7:O100,O100,$P$7:P100,P100))</f>
        <v>61</v>
      </c>
      <c r="R100" t="str">
        <f t="shared" si="1"/>
        <v>0|0|61</v>
      </c>
    </row>
    <row r="101" spans="1:18" ht="48" customHeight="1">
      <c r="A101" s="5">
        <v>95</v>
      </c>
      <c r="B101" s="6"/>
      <c r="C101" s="6"/>
      <c r="D101" s="6"/>
      <c r="E101" s="6"/>
      <c r="F101" s="5"/>
      <c r="G101" s="5"/>
      <c r="H101" s="5"/>
      <c r="I101" s="6"/>
      <c r="J101" s="6"/>
      <c r="K101" s="6"/>
      <c r="L101" s="5"/>
      <c r="M101" s="5"/>
      <c r="N101" s="50"/>
      <c r="O101">
        <f>IF($A101="","",IF('Risk Matrix'!$B$3="Worst Credible",$G101,$L101))</f>
        <v>0</v>
      </c>
      <c r="P101">
        <f>IF($A101="","",IF('Risk Matrix'!$B$3="Worst Credible",$H101,$M101))</f>
        <v>0</v>
      </c>
      <c r="Q101">
        <f>IF($A101="","",COUNTIFS($O$7:O101,O101,$P$7:P101,P101))</f>
        <v>62</v>
      </c>
      <c r="R101" t="str">
        <f t="shared" si="1"/>
        <v>0|0|62</v>
      </c>
    </row>
    <row r="102" spans="1:18" ht="48" customHeight="1">
      <c r="A102" s="5">
        <v>96</v>
      </c>
      <c r="B102" s="6"/>
      <c r="C102" s="6"/>
      <c r="D102" s="6"/>
      <c r="E102" s="6"/>
      <c r="F102" s="5"/>
      <c r="G102" s="5"/>
      <c r="H102" s="5"/>
      <c r="I102" s="6"/>
      <c r="J102" s="6"/>
      <c r="K102" s="6"/>
      <c r="L102" s="5"/>
      <c r="M102" s="5"/>
      <c r="N102" s="50"/>
      <c r="O102">
        <f>IF($A102="","",IF('Risk Matrix'!$B$3="Worst Credible",$G102,$L102))</f>
        <v>0</v>
      </c>
      <c r="P102">
        <f>IF($A102="","",IF('Risk Matrix'!$B$3="Worst Credible",$H102,$M102))</f>
        <v>0</v>
      </c>
      <c r="Q102">
        <f>IF($A102="","",COUNTIFS($O$7:O102,O102,$P$7:P102,P102))</f>
        <v>63</v>
      </c>
      <c r="R102" t="str">
        <f t="shared" si="1"/>
        <v>0|0|63</v>
      </c>
    </row>
    <row r="103" spans="1:18" ht="48" customHeight="1">
      <c r="A103" s="5">
        <v>97</v>
      </c>
      <c r="B103" s="6"/>
      <c r="C103" s="6"/>
      <c r="D103" s="6"/>
      <c r="E103" s="6"/>
      <c r="F103" s="5"/>
      <c r="G103" s="5"/>
      <c r="H103" s="5"/>
      <c r="I103" s="6"/>
      <c r="J103" s="6"/>
      <c r="K103" s="6"/>
      <c r="L103" s="5"/>
      <c r="M103" s="5"/>
      <c r="N103" s="50"/>
      <c r="O103">
        <f>IF($A103="","",IF('Risk Matrix'!$B$3="Worst Credible",$G103,$L103))</f>
        <v>0</v>
      </c>
      <c r="P103">
        <f>IF($A103="","",IF('Risk Matrix'!$B$3="Worst Credible",$H103,$M103))</f>
        <v>0</v>
      </c>
      <c r="Q103">
        <f>IF($A103="","",COUNTIFS($O$7:O103,O103,$P$7:P103,P103))</f>
        <v>64</v>
      </c>
      <c r="R103" t="str">
        <f t="shared" si="1"/>
        <v>0|0|64</v>
      </c>
    </row>
    <row r="104" spans="1:18" ht="48" customHeight="1">
      <c r="A104" s="5">
        <v>98</v>
      </c>
      <c r="B104" s="6"/>
      <c r="C104" s="6"/>
      <c r="D104" s="6"/>
      <c r="E104" s="6"/>
      <c r="F104" s="5"/>
      <c r="G104" s="5"/>
      <c r="H104" s="5"/>
      <c r="I104" s="6"/>
      <c r="J104" s="6"/>
      <c r="K104" s="6"/>
      <c r="L104" s="5"/>
      <c r="M104" s="5"/>
      <c r="N104" s="50"/>
      <c r="O104">
        <f>IF($A104="","",IF('Risk Matrix'!$B$3="Worst Credible",$G104,$L104))</f>
        <v>0</v>
      </c>
      <c r="P104">
        <f>IF($A104="","",IF('Risk Matrix'!$B$3="Worst Credible",$H104,$M104))</f>
        <v>0</v>
      </c>
      <c r="Q104">
        <f>IF($A104="","",COUNTIFS($O$7:O104,O104,$P$7:P104,P104))</f>
        <v>65</v>
      </c>
      <c r="R104" t="str">
        <f t="shared" si="1"/>
        <v>0|0|65</v>
      </c>
    </row>
    <row r="105" spans="1:18" ht="48" customHeight="1">
      <c r="A105" s="5">
        <v>99</v>
      </c>
      <c r="B105" s="6"/>
      <c r="C105" s="6"/>
      <c r="D105" s="6"/>
      <c r="E105" s="6"/>
      <c r="F105" s="5"/>
      <c r="G105" s="5"/>
      <c r="H105" s="5"/>
      <c r="I105" s="6"/>
      <c r="J105" s="6"/>
      <c r="K105" s="6"/>
      <c r="L105" s="5"/>
      <c r="M105" s="5"/>
      <c r="N105" s="50"/>
      <c r="O105">
        <f>IF($A105="","",IF('Risk Matrix'!$B$3="Worst Credible",$G105,$L105))</f>
        <v>0</v>
      </c>
      <c r="P105">
        <f>IF($A105="","",IF('Risk Matrix'!$B$3="Worst Credible",$H105,$M105))</f>
        <v>0</v>
      </c>
      <c r="Q105">
        <f>IF($A105="","",COUNTIFS($O$7:O105,O105,$P$7:P105,P105))</f>
        <v>66</v>
      </c>
      <c r="R105" t="str">
        <f t="shared" si="1"/>
        <v>0|0|66</v>
      </c>
    </row>
    <row r="106" spans="1:18" ht="48" customHeight="1">
      <c r="A106" s="5">
        <v>100</v>
      </c>
      <c r="B106" s="6"/>
      <c r="C106" s="6"/>
      <c r="D106" s="6"/>
      <c r="E106" s="6"/>
      <c r="F106" s="5"/>
      <c r="G106" s="5"/>
      <c r="H106" s="5"/>
      <c r="I106" s="6"/>
      <c r="J106" s="6"/>
      <c r="K106" s="6"/>
      <c r="L106" s="5"/>
      <c r="M106" s="5"/>
      <c r="N106" s="50"/>
      <c r="O106">
        <f>IF($A106="","",IF('Risk Matrix'!$B$3="Worst Credible",$G106,$L106))</f>
        <v>0</v>
      </c>
      <c r="P106">
        <f>IF($A106="","",IF('Risk Matrix'!$B$3="Worst Credible",$H106,$M106))</f>
        <v>0</v>
      </c>
      <c r="Q106">
        <f>IF($A106="","",COUNTIFS($O$7:O106,O106,$P$7:P106,P106))</f>
        <v>67</v>
      </c>
      <c r="R106" t="str">
        <f t="shared" si="1"/>
        <v>0|0|67</v>
      </c>
    </row>
    <row r="107" spans="1:18" ht="48" customHeight="1">
      <c r="A107" s="5"/>
      <c r="B107" s="6"/>
      <c r="C107" s="6"/>
      <c r="D107" s="6"/>
      <c r="E107" s="6"/>
      <c r="F107" s="5"/>
      <c r="G107" s="5"/>
      <c r="H107" s="5"/>
      <c r="I107" s="6"/>
      <c r="J107" s="6"/>
      <c r="K107" s="6"/>
      <c r="L107" s="5"/>
      <c r="M107" s="5"/>
      <c r="N107" s="50"/>
      <c r="O107" t="str">
        <f>IF($A107="","",IF('Risk Matrix'!$B$3="Worst Credible",$G107,$L107))</f>
        <v/>
      </c>
      <c r="P107" t="str">
        <f>IF($A107="","",IF('Risk Matrix'!$B$3="Worst Credible",$H107,$M107))</f>
        <v/>
      </c>
      <c r="Q107" t="str">
        <f>IF($A107="","",COUNTIFS($O$7:O107,O107,$P$7:P107,P107))</f>
        <v/>
      </c>
      <c r="R107" t="str">
        <f t="shared" si="1"/>
        <v/>
      </c>
    </row>
    <row r="108" spans="1:18" ht="48" customHeight="1">
      <c r="A108" s="5"/>
      <c r="B108" s="6"/>
      <c r="C108" s="6"/>
      <c r="D108" s="6"/>
      <c r="E108" s="6"/>
      <c r="F108" s="5"/>
      <c r="G108" s="5"/>
      <c r="H108" s="5"/>
      <c r="I108" s="6"/>
      <c r="J108" s="6"/>
      <c r="K108" s="6"/>
      <c r="L108" s="5"/>
      <c r="M108" s="5"/>
      <c r="N108" s="50"/>
      <c r="O108" t="str">
        <f>IF($A108="","",IF('Risk Matrix'!$B$3="Worst Credible",$G108,$L108))</f>
        <v/>
      </c>
      <c r="P108" t="str">
        <f>IF($A108="","",IF('Risk Matrix'!$B$3="Worst Credible",$H108,$M108))</f>
        <v/>
      </c>
      <c r="Q108" t="str">
        <f>IF($A108="","",COUNTIFS($O$7:O108,O108,$P$7:P108,P108))</f>
        <v/>
      </c>
      <c r="R108" t="str">
        <f t="shared" si="1"/>
        <v/>
      </c>
    </row>
    <row r="109" spans="1:18" ht="48" customHeight="1">
      <c r="A109" s="5"/>
      <c r="B109" s="6"/>
      <c r="C109" s="6"/>
      <c r="D109" s="6"/>
      <c r="E109" s="6"/>
      <c r="F109" s="5"/>
      <c r="G109" s="5"/>
      <c r="H109" s="5"/>
      <c r="I109" s="6"/>
      <c r="J109" s="6"/>
      <c r="K109" s="6"/>
      <c r="L109" s="5"/>
      <c r="M109" s="5"/>
      <c r="N109" s="50"/>
      <c r="O109" t="str">
        <f>IF($A109="","",IF('Risk Matrix'!$B$3="Worst Credible",$G109,$L109))</f>
        <v/>
      </c>
      <c r="P109" t="str">
        <f>IF($A109="","",IF('Risk Matrix'!$B$3="Worst Credible",$H109,$M109))</f>
        <v/>
      </c>
      <c r="Q109" t="str">
        <f>IF($A109="","",COUNTIFS($O$7:O109,O109,$P$7:P109,P109))</f>
        <v/>
      </c>
      <c r="R109" t="str">
        <f t="shared" si="1"/>
        <v/>
      </c>
    </row>
    <row r="110" spans="1:18" ht="48" customHeight="1">
      <c r="A110" s="5"/>
      <c r="B110" s="6"/>
      <c r="C110" s="6"/>
      <c r="D110" s="6"/>
      <c r="E110" s="6"/>
      <c r="F110" s="5"/>
      <c r="G110" s="5"/>
      <c r="H110" s="5"/>
      <c r="I110" s="6"/>
      <c r="J110" s="6"/>
      <c r="K110" s="6"/>
      <c r="L110" s="5"/>
      <c r="M110" s="5"/>
      <c r="N110" s="50"/>
      <c r="O110" t="str">
        <f>IF($A110="","",IF('Risk Matrix'!$B$3="Worst Credible",$G110,$L110))</f>
        <v/>
      </c>
      <c r="P110" t="str">
        <f>IF($A110="","",IF('Risk Matrix'!$B$3="Worst Credible",$H110,$M110))</f>
        <v/>
      </c>
      <c r="Q110" t="str">
        <f>IF($A110="","",COUNTIFS($O$7:O110,O110,$P$7:P110,P110))</f>
        <v/>
      </c>
      <c r="R110" t="str">
        <f t="shared" si="1"/>
        <v/>
      </c>
    </row>
    <row r="111" spans="1:18" ht="48" customHeight="1">
      <c r="A111" s="5"/>
      <c r="B111" s="6"/>
      <c r="C111" s="6"/>
      <c r="D111" s="6"/>
      <c r="E111" s="6"/>
      <c r="F111" s="5"/>
      <c r="G111" s="5"/>
      <c r="H111" s="5"/>
      <c r="I111" s="6"/>
      <c r="J111" s="6"/>
      <c r="K111" s="6"/>
      <c r="L111" s="5"/>
      <c r="M111" s="5"/>
      <c r="N111" s="50"/>
      <c r="O111" t="str">
        <f>IF($A111="","",IF('Risk Matrix'!$B$3="Worst Credible",$G111,$L111))</f>
        <v/>
      </c>
      <c r="P111" t="str">
        <f>IF($A111="","",IF('Risk Matrix'!$B$3="Worst Credible",$H111,$M111))</f>
        <v/>
      </c>
      <c r="Q111" t="str">
        <f>IF($A111="","",COUNTIFS($O$7:O111,O111,$P$7:P111,P111))</f>
        <v/>
      </c>
      <c r="R111" t="str">
        <f t="shared" si="1"/>
        <v/>
      </c>
    </row>
    <row r="112" spans="1:18" ht="48" customHeight="1">
      <c r="A112" s="5"/>
      <c r="B112" s="6"/>
      <c r="C112" s="6"/>
      <c r="D112" s="6"/>
      <c r="E112" s="6"/>
      <c r="F112" s="5"/>
      <c r="G112" s="5"/>
      <c r="H112" s="5"/>
      <c r="I112" s="6"/>
      <c r="J112" s="6"/>
      <c r="K112" s="6"/>
      <c r="L112" s="5"/>
      <c r="M112" s="5"/>
      <c r="N112" s="50"/>
      <c r="O112" t="str">
        <f>IF($A112="","",IF('Risk Matrix'!$B$3="Worst Credible",$G112,$L112))</f>
        <v/>
      </c>
      <c r="P112" t="str">
        <f>IF($A112="","",IF('Risk Matrix'!$B$3="Worst Credible",$H112,$M112))</f>
        <v/>
      </c>
      <c r="Q112" t="str">
        <f>IF($A112="","",COUNTIFS($O$7:O112,O112,$P$7:P112,P112))</f>
        <v/>
      </c>
      <c r="R112" t="str">
        <f t="shared" si="1"/>
        <v/>
      </c>
    </row>
    <row r="113" spans="1:18" ht="48" customHeight="1">
      <c r="A113" s="5"/>
      <c r="B113" s="6"/>
      <c r="C113" s="6"/>
      <c r="D113" s="6"/>
      <c r="E113" s="6"/>
      <c r="F113" s="5"/>
      <c r="G113" s="5"/>
      <c r="H113" s="5"/>
      <c r="I113" s="6"/>
      <c r="J113" s="6"/>
      <c r="K113" s="6"/>
      <c r="L113" s="5"/>
      <c r="M113" s="5"/>
      <c r="N113" s="50"/>
      <c r="O113" t="str">
        <f>IF($A113="","",IF('Risk Matrix'!$B$3="Worst Credible",$G113,$L113))</f>
        <v/>
      </c>
      <c r="P113" t="str">
        <f>IF($A113="","",IF('Risk Matrix'!$B$3="Worst Credible",$H113,$M113))</f>
        <v/>
      </c>
      <c r="Q113" t="str">
        <f>IF($A113="","",COUNTIFS($O$7:O113,O113,$P$7:P113,P113))</f>
        <v/>
      </c>
      <c r="R113" t="str">
        <f t="shared" si="1"/>
        <v/>
      </c>
    </row>
    <row r="114" spans="1:18" ht="48" customHeight="1">
      <c r="A114" s="5"/>
      <c r="B114" s="6"/>
      <c r="C114" s="6"/>
      <c r="D114" s="6"/>
      <c r="E114" s="6"/>
      <c r="F114" s="5"/>
      <c r="G114" s="5"/>
      <c r="H114" s="5"/>
      <c r="I114" s="6"/>
      <c r="J114" s="6"/>
      <c r="K114" s="6"/>
      <c r="L114" s="5"/>
      <c r="M114" s="5"/>
      <c r="N114" s="50"/>
      <c r="O114" t="str">
        <f>IF($A114="","",IF('Risk Matrix'!$B$3="Worst Credible",$G114,$L114))</f>
        <v/>
      </c>
      <c r="P114" t="str">
        <f>IF($A114="","",IF('Risk Matrix'!$B$3="Worst Credible",$H114,$M114))</f>
        <v/>
      </c>
      <c r="Q114" t="str">
        <f>IF($A114="","",COUNTIFS($O$7:O114,O114,$P$7:P114,P114))</f>
        <v/>
      </c>
      <c r="R114" t="str">
        <f t="shared" si="1"/>
        <v/>
      </c>
    </row>
    <row r="115" spans="1:18" ht="48" customHeight="1">
      <c r="A115" s="5"/>
      <c r="B115" s="6"/>
      <c r="C115" s="6"/>
      <c r="D115" s="6"/>
      <c r="E115" s="6"/>
      <c r="F115" s="5"/>
      <c r="G115" s="5"/>
      <c r="H115" s="5"/>
      <c r="I115" s="6"/>
      <c r="J115" s="6"/>
      <c r="K115" s="6"/>
      <c r="L115" s="5"/>
      <c r="M115" s="5"/>
      <c r="N115" s="50"/>
      <c r="O115" t="str">
        <f>IF($A115="","",IF('Risk Matrix'!$B$3="Worst Credible",$G115,$L115))</f>
        <v/>
      </c>
      <c r="P115" t="str">
        <f>IF($A115="","",IF('Risk Matrix'!$B$3="Worst Credible",$H115,$M115))</f>
        <v/>
      </c>
      <c r="Q115" t="str">
        <f>IF($A115="","",COUNTIFS($O$7:O115,O115,$P$7:P115,P115))</f>
        <v/>
      </c>
      <c r="R115" t="str">
        <f t="shared" si="1"/>
        <v/>
      </c>
    </row>
    <row r="116" spans="1:18" ht="48" customHeight="1">
      <c r="A116" s="5"/>
      <c r="B116" s="6"/>
      <c r="C116" s="6"/>
      <c r="D116" s="6"/>
      <c r="E116" s="6"/>
      <c r="F116" s="5"/>
      <c r="G116" s="5"/>
      <c r="H116" s="5"/>
      <c r="I116" s="6"/>
      <c r="J116" s="6"/>
      <c r="K116" s="6"/>
      <c r="L116" s="5"/>
      <c r="M116" s="5"/>
      <c r="N116" s="50"/>
      <c r="O116" t="str">
        <f>IF($A116="","",IF('Risk Matrix'!$B$3="Worst Credible",$G116,$L116))</f>
        <v/>
      </c>
      <c r="P116" t="str">
        <f>IF($A116="","",IF('Risk Matrix'!$B$3="Worst Credible",$H116,$M116))</f>
        <v/>
      </c>
      <c r="Q116" t="str">
        <f>IF($A116="","",COUNTIFS($O$7:O116,O116,$P$7:P116,P116))</f>
        <v/>
      </c>
      <c r="R116" t="str">
        <f t="shared" si="1"/>
        <v/>
      </c>
    </row>
    <row r="117" spans="1:18" ht="48" customHeight="1">
      <c r="A117" s="5"/>
      <c r="B117" s="6"/>
      <c r="C117" s="6"/>
      <c r="D117" s="6"/>
      <c r="E117" s="6"/>
      <c r="F117" s="5"/>
      <c r="G117" s="5"/>
      <c r="H117" s="5"/>
      <c r="I117" s="6"/>
      <c r="J117" s="6"/>
      <c r="K117" s="6"/>
      <c r="L117" s="5"/>
      <c r="M117" s="5"/>
      <c r="N117" s="50"/>
      <c r="O117" t="str">
        <f>IF($A117="","",IF('Risk Matrix'!$B$3="Worst Credible",$G117,$L117))</f>
        <v/>
      </c>
      <c r="P117" t="str">
        <f>IF($A117="","",IF('Risk Matrix'!$B$3="Worst Credible",$H117,$M117))</f>
        <v/>
      </c>
      <c r="Q117" t="str">
        <f>IF($A117="","",COUNTIFS($O$7:O117,O117,$P$7:P117,P117))</f>
        <v/>
      </c>
      <c r="R117" t="str">
        <f t="shared" si="1"/>
        <v/>
      </c>
    </row>
    <row r="118" spans="1:18" ht="48" customHeight="1">
      <c r="A118" s="5"/>
      <c r="B118" s="6"/>
      <c r="C118" s="6"/>
      <c r="D118" s="6"/>
      <c r="E118" s="6"/>
      <c r="F118" s="5"/>
      <c r="G118" s="5"/>
      <c r="H118" s="5"/>
      <c r="I118" s="6"/>
      <c r="J118" s="6"/>
      <c r="K118" s="6"/>
      <c r="L118" s="5"/>
      <c r="M118" s="5"/>
      <c r="N118" s="50"/>
      <c r="O118" t="str">
        <f>IF($A118="","",IF('Risk Matrix'!$B$3="Worst Credible",$G118,$L118))</f>
        <v/>
      </c>
      <c r="P118" t="str">
        <f>IF($A118="","",IF('Risk Matrix'!$B$3="Worst Credible",$H118,$M118))</f>
        <v/>
      </c>
      <c r="Q118" t="str">
        <f>IF($A118="","",COUNTIFS($O$7:O118,O118,$P$7:P118,P118))</f>
        <v/>
      </c>
      <c r="R118" t="str">
        <f t="shared" si="1"/>
        <v/>
      </c>
    </row>
    <row r="119" spans="1:18" ht="48" customHeight="1">
      <c r="A119" s="5"/>
      <c r="B119" s="6"/>
      <c r="C119" s="6"/>
      <c r="D119" s="6"/>
      <c r="E119" s="6"/>
      <c r="F119" s="5"/>
      <c r="G119" s="5"/>
      <c r="H119" s="5"/>
      <c r="I119" s="6"/>
      <c r="J119" s="6"/>
      <c r="K119" s="6"/>
      <c r="L119" s="5"/>
      <c r="M119" s="5"/>
      <c r="N119" s="50"/>
      <c r="O119" t="str">
        <f>IF($A119="","",IF('Risk Matrix'!$B$3="Worst Credible",$G119,$L119))</f>
        <v/>
      </c>
      <c r="P119" t="str">
        <f>IF($A119="","",IF('Risk Matrix'!$B$3="Worst Credible",$H119,$M119))</f>
        <v/>
      </c>
      <c r="Q119" t="str">
        <f>IF($A119="","",COUNTIFS($O$7:O119,O119,$P$7:P119,P119))</f>
        <v/>
      </c>
      <c r="R119" t="str">
        <f t="shared" si="1"/>
        <v/>
      </c>
    </row>
    <row r="120" spans="1:18" ht="48" customHeight="1">
      <c r="A120" s="5"/>
      <c r="B120" s="6"/>
      <c r="C120" s="6"/>
      <c r="D120" s="6"/>
      <c r="E120" s="6"/>
      <c r="F120" s="5"/>
      <c r="G120" s="5"/>
      <c r="H120" s="5"/>
      <c r="I120" s="6"/>
      <c r="J120" s="6"/>
      <c r="K120" s="6"/>
      <c r="L120" s="5"/>
      <c r="M120" s="5"/>
      <c r="N120" s="50"/>
      <c r="O120" t="str">
        <f>IF($A120="","",IF('Risk Matrix'!$B$3="Worst Credible",$G120,$L120))</f>
        <v/>
      </c>
      <c r="P120" t="str">
        <f>IF($A120="","",IF('Risk Matrix'!$B$3="Worst Credible",$H120,$M120))</f>
        <v/>
      </c>
      <c r="Q120" t="str">
        <f>IF($A120="","",COUNTIFS($O$7:O120,O120,$P$7:P120,P120))</f>
        <v/>
      </c>
      <c r="R120" t="str">
        <f t="shared" si="1"/>
        <v/>
      </c>
    </row>
    <row r="121" spans="1:18" ht="48" customHeight="1">
      <c r="A121" s="5"/>
      <c r="B121" s="6"/>
      <c r="C121" s="6"/>
      <c r="D121" s="6"/>
      <c r="E121" s="6"/>
      <c r="F121" s="5"/>
      <c r="G121" s="5"/>
      <c r="H121" s="5"/>
      <c r="I121" s="6"/>
      <c r="J121" s="6"/>
      <c r="K121" s="6"/>
      <c r="L121" s="5"/>
      <c r="M121" s="5"/>
      <c r="N121" s="50"/>
      <c r="O121" t="str">
        <f>IF($A121="","",IF('Risk Matrix'!$B$3="Worst Credible",$G121,$L121))</f>
        <v/>
      </c>
      <c r="P121" t="str">
        <f>IF($A121="","",IF('Risk Matrix'!$B$3="Worst Credible",$H121,$M121))</f>
        <v/>
      </c>
      <c r="Q121" t="str">
        <f>IF($A121="","",COUNTIFS($O$7:O121,O121,$P$7:P121,P121))</f>
        <v/>
      </c>
      <c r="R121" t="str">
        <f t="shared" si="1"/>
        <v/>
      </c>
    </row>
    <row r="122" spans="1:18" ht="48" customHeight="1">
      <c r="A122" s="5"/>
      <c r="B122" s="6"/>
      <c r="C122" s="6"/>
      <c r="D122" s="6"/>
      <c r="E122" s="6"/>
      <c r="F122" s="5"/>
      <c r="G122" s="5"/>
      <c r="H122" s="5"/>
      <c r="I122" s="6"/>
      <c r="J122" s="6"/>
      <c r="K122" s="6"/>
      <c r="L122" s="5"/>
      <c r="M122" s="5"/>
      <c r="N122" s="50"/>
      <c r="O122" t="str">
        <f>IF($A122="","",IF('Risk Matrix'!$B$3="Worst Credible",$G122,$L122))</f>
        <v/>
      </c>
      <c r="P122" t="str">
        <f>IF($A122="","",IF('Risk Matrix'!$B$3="Worst Credible",$H122,$M122))</f>
        <v/>
      </c>
      <c r="Q122" t="str">
        <f>IF($A122="","",COUNTIFS($O$7:O122,O122,$P$7:P122,P122))</f>
        <v/>
      </c>
      <c r="R122" t="str">
        <f t="shared" si="1"/>
        <v/>
      </c>
    </row>
    <row r="123" spans="1:18" ht="48" customHeight="1">
      <c r="A123" s="5"/>
      <c r="B123" s="6"/>
      <c r="C123" s="6"/>
      <c r="D123" s="6"/>
      <c r="E123" s="6"/>
      <c r="F123" s="5"/>
      <c r="G123" s="5"/>
      <c r="H123" s="5"/>
      <c r="I123" s="6"/>
      <c r="J123" s="6"/>
      <c r="K123" s="6"/>
      <c r="L123" s="5"/>
      <c r="M123" s="5"/>
      <c r="N123" s="50"/>
      <c r="O123" t="str">
        <f>IF($A123="","",IF('Risk Matrix'!$B$3="Worst Credible",$G123,$L123))</f>
        <v/>
      </c>
      <c r="P123" t="str">
        <f>IF($A123="","",IF('Risk Matrix'!$B$3="Worst Credible",$H123,$M123))</f>
        <v/>
      </c>
      <c r="Q123" t="str">
        <f>IF($A123="","",COUNTIFS($O$7:O123,O123,$P$7:P123,P123))</f>
        <v/>
      </c>
      <c r="R123" t="str">
        <f t="shared" si="1"/>
        <v/>
      </c>
    </row>
    <row r="124" spans="1:18" ht="48" customHeight="1">
      <c r="A124" s="5"/>
      <c r="B124" s="6"/>
      <c r="C124" s="6"/>
      <c r="D124" s="6"/>
      <c r="E124" s="6"/>
      <c r="F124" s="5"/>
      <c r="G124" s="5"/>
      <c r="H124" s="5"/>
      <c r="I124" s="6"/>
      <c r="J124" s="6"/>
      <c r="K124" s="6"/>
      <c r="L124" s="5"/>
      <c r="M124" s="5"/>
      <c r="N124" s="50"/>
      <c r="O124" t="str">
        <f>IF($A124="","",IF('Risk Matrix'!$B$3="Worst Credible",$G124,$L124))</f>
        <v/>
      </c>
      <c r="P124" t="str">
        <f>IF($A124="","",IF('Risk Matrix'!$B$3="Worst Credible",$H124,$M124))</f>
        <v/>
      </c>
      <c r="Q124" t="str">
        <f>IF($A124="","",COUNTIFS($O$7:O124,O124,$P$7:P124,P124))</f>
        <v/>
      </c>
      <c r="R124" t="str">
        <f t="shared" si="1"/>
        <v/>
      </c>
    </row>
    <row r="125" spans="1:18" ht="48" customHeight="1">
      <c r="A125" s="5"/>
      <c r="B125" s="6"/>
      <c r="C125" s="6"/>
      <c r="D125" s="6"/>
      <c r="E125" s="6"/>
      <c r="F125" s="5"/>
      <c r="G125" s="5"/>
      <c r="H125" s="5"/>
      <c r="I125" s="6"/>
      <c r="J125" s="6"/>
      <c r="K125" s="6"/>
      <c r="L125" s="5"/>
      <c r="M125" s="5"/>
      <c r="N125" s="50"/>
      <c r="O125" t="str">
        <f>IF($A125="","",IF('Risk Matrix'!$B$3="Worst Credible",$G125,$L125))</f>
        <v/>
      </c>
      <c r="P125" t="str">
        <f>IF($A125="","",IF('Risk Matrix'!$B$3="Worst Credible",$H125,$M125))</f>
        <v/>
      </c>
      <c r="Q125" t="str">
        <f>IF($A125="","",COUNTIFS($O$7:O125,O125,$P$7:P125,P125))</f>
        <v/>
      </c>
      <c r="R125" t="str">
        <f t="shared" si="1"/>
        <v/>
      </c>
    </row>
    <row r="126" spans="1:18" ht="48" customHeight="1">
      <c r="A126" s="5"/>
      <c r="B126" s="6"/>
      <c r="C126" s="6"/>
      <c r="D126" s="6"/>
      <c r="E126" s="6"/>
      <c r="F126" s="5"/>
      <c r="G126" s="5"/>
      <c r="H126" s="5"/>
      <c r="I126" s="6"/>
      <c r="J126" s="6"/>
      <c r="K126" s="6"/>
      <c r="L126" s="5"/>
      <c r="M126" s="5"/>
      <c r="N126" s="50"/>
      <c r="O126" t="str">
        <f>IF($A126="","",IF('Risk Matrix'!$B$3="Worst Credible",$G126,$L126))</f>
        <v/>
      </c>
      <c r="P126" t="str">
        <f>IF($A126="","",IF('Risk Matrix'!$B$3="Worst Credible",$H126,$M126))</f>
        <v/>
      </c>
      <c r="Q126" t="str">
        <f>IF($A126="","",COUNTIFS($O$7:O126,O126,$P$7:P126,P126))</f>
        <v/>
      </c>
      <c r="R126" t="str">
        <f t="shared" si="1"/>
        <v/>
      </c>
    </row>
    <row r="127" spans="1:18" ht="48" customHeight="1">
      <c r="A127" s="5"/>
      <c r="B127" s="6"/>
      <c r="C127" s="6"/>
      <c r="D127" s="6"/>
      <c r="E127" s="6"/>
      <c r="F127" s="5"/>
      <c r="G127" s="5"/>
      <c r="H127" s="5"/>
      <c r="I127" s="6"/>
      <c r="J127" s="6"/>
      <c r="K127" s="6"/>
      <c r="L127" s="5"/>
      <c r="M127" s="5"/>
      <c r="N127" s="50"/>
      <c r="O127" t="str">
        <f>IF($A127="","",IF('Risk Matrix'!$B$3="Worst Credible",$G127,$L127))</f>
        <v/>
      </c>
      <c r="P127" t="str">
        <f>IF($A127="","",IF('Risk Matrix'!$B$3="Worst Credible",$H127,$M127))</f>
        <v/>
      </c>
      <c r="Q127" t="str">
        <f>IF($A127="","",COUNTIFS($O$7:O127,O127,$P$7:P127,P127))</f>
        <v/>
      </c>
      <c r="R127" t="str">
        <f t="shared" si="1"/>
        <v/>
      </c>
    </row>
    <row r="128" spans="1:18" ht="48" customHeight="1">
      <c r="A128" s="5"/>
      <c r="B128" s="6"/>
      <c r="C128" s="6"/>
      <c r="D128" s="6"/>
      <c r="E128" s="6"/>
      <c r="F128" s="5"/>
      <c r="G128" s="5"/>
      <c r="H128" s="5"/>
      <c r="I128" s="6"/>
      <c r="J128" s="6"/>
      <c r="K128" s="6"/>
      <c r="L128" s="5"/>
      <c r="M128" s="5"/>
      <c r="N128" s="50"/>
      <c r="O128" t="str">
        <f>IF($A128="","",IF('Risk Matrix'!$B$3="Worst Credible",$G128,$L128))</f>
        <v/>
      </c>
      <c r="P128" t="str">
        <f>IF($A128="","",IF('Risk Matrix'!$B$3="Worst Credible",$H128,$M128))</f>
        <v/>
      </c>
      <c r="Q128" t="str">
        <f>IF($A128="","",COUNTIFS($O$7:O128,O128,$P$7:P128,P128))</f>
        <v/>
      </c>
      <c r="R128" t="str">
        <f t="shared" si="1"/>
        <v/>
      </c>
    </row>
    <row r="129" spans="1:18" ht="48" customHeight="1">
      <c r="A129" s="5"/>
      <c r="B129" s="6"/>
      <c r="C129" s="6"/>
      <c r="D129" s="6"/>
      <c r="E129" s="6"/>
      <c r="F129" s="5"/>
      <c r="G129" s="5"/>
      <c r="H129" s="5"/>
      <c r="I129" s="6"/>
      <c r="J129" s="6"/>
      <c r="K129" s="6"/>
      <c r="L129" s="5"/>
      <c r="M129" s="5"/>
      <c r="N129" s="50"/>
      <c r="O129" t="str">
        <f>IF($A129="","",IF('Risk Matrix'!$B$3="Worst Credible",$G129,$L129))</f>
        <v/>
      </c>
      <c r="P129" t="str">
        <f>IF($A129="","",IF('Risk Matrix'!$B$3="Worst Credible",$H129,$M129))</f>
        <v/>
      </c>
      <c r="Q129" t="str">
        <f>IF($A129="","",COUNTIFS($O$7:O129,O129,$P$7:P129,P129))</f>
        <v/>
      </c>
      <c r="R129" t="str">
        <f t="shared" si="1"/>
        <v/>
      </c>
    </row>
    <row r="130" spans="1:18" ht="48" customHeight="1">
      <c r="A130" s="5"/>
      <c r="B130" s="6"/>
      <c r="C130" s="6"/>
      <c r="D130" s="6"/>
      <c r="E130" s="6"/>
      <c r="F130" s="5"/>
      <c r="G130" s="5"/>
      <c r="H130" s="5"/>
      <c r="I130" s="6"/>
      <c r="J130" s="6"/>
      <c r="K130" s="6"/>
      <c r="L130" s="5"/>
      <c r="M130" s="5"/>
      <c r="N130" s="50"/>
      <c r="O130" t="str">
        <f>IF($A130="","",IF('Risk Matrix'!$B$3="Worst Credible",$G130,$L130))</f>
        <v/>
      </c>
      <c r="P130" t="str">
        <f>IF($A130="","",IF('Risk Matrix'!$B$3="Worst Credible",$H130,$M130))</f>
        <v/>
      </c>
      <c r="Q130" t="str">
        <f>IF($A130="","",COUNTIFS($O$7:O130,O130,$P$7:P130,P130))</f>
        <v/>
      </c>
      <c r="R130" t="str">
        <f t="shared" si="1"/>
        <v/>
      </c>
    </row>
    <row r="131" spans="1:18" ht="48" customHeight="1">
      <c r="A131" s="5"/>
      <c r="B131" s="6"/>
      <c r="C131" s="6"/>
      <c r="D131" s="6"/>
      <c r="E131" s="6"/>
      <c r="F131" s="5"/>
      <c r="G131" s="5"/>
      <c r="H131" s="5"/>
      <c r="I131" s="6"/>
      <c r="J131" s="6"/>
      <c r="K131" s="6"/>
      <c r="L131" s="5"/>
      <c r="M131" s="5"/>
      <c r="N131" s="50"/>
      <c r="O131" t="str">
        <f>IF($A131="","",IF('Risk Matrix'!$B$3="Worst Credible",$G131,$L131))</f>
        <v/>
      </c>
      <c r="P131" t="str">
        <f>IF($A131="","",IF('Risk Matrix'!$B$3="Worst Credible",$H131,$M131))</f>
        <v/>
      </c>
      <c r="Q131" t="str">
        <f>IF($A131="","",COUNTIFS($O$7:O131,O131,$P$7:P131,P131))</f>
        <v/>
      </c>
      <c r="R131" t="str">
        <f t="shared" si="1"/>
        <v/>
      </c>
    </row>
    <row r="132" spans="1:18" ht="48" customHeight="1">
      <c r="A132" s="5"/>
      <c r="B132" s="6"/>
      <c r="C132" s="6"/>
      <c r="D132" s="6"/>
      <c r="E132" s="6"/>
      <c r="F132" s="5"/>
      <c r="G132" s="5"/>
      <c r="H132" s="5"/>
      <c r="I132" s="6"/>
      <c r="J132" s="6"/>
      <c r="K132" s="6"/>
      <c r="L132" s="5"/>
      <c r="M132" s="5"/>
      <c r="N132" s="50"/>
      <c r="O132" t="str">
        <f>IF($A132="","",IF('Risk Matrix'!$B$3="Worst Credible",$G132,$L132))</f>
        <v/>
      </c>
      <c r="P132" t="str">
        <f>IF($A132="","",IF('Risk Matrix'!$B$3="Worst Credible",$H132,$M132))</f>
        <v/>
      </c>
      <c r="Q132" t="str">
        <f>IF($A132="","",COUNTIFS($O$7:O132,O132,$P$7:P132,P132))</f>
        <v/>
      </c>
      <c r="R132" t="str">
        <f t="shared" si="1"/>
        <v/>
      </c>
    </row>
    <row r="133" spans="1:18" ht="48" customHeight="1">
      <c r="A133" s="5"/>
      <c r="B133" s="6"/>
      <c r="C133" s="6"/>
      <c r="D133" s="6"/>
      <c r="E133" s="6"/>
      <c r="F133" s="5"/>
      <c r="G133" s="5"/>
      <c r="H133" s="5"/>
      <c r="I133" s="6"/>
      <c r="J133" s="6"/>
      <c r="K133" s="6"/>
      <c r="L133" s="5"/>
      <c r="M133" s="5"/>
      <c r="N133" s="50"/>
      <c r="O133" t="str">
        <f>IF($A133="","",IF('Risk Matrix'!$B$3="Worst Credible",$G133,$L133))</f>
        <v/>
      </c>
      <c r="P133" t="str">
        <f>IF($A133="","",IF('Risk Matrix'!$B$3="Worst Credible",$H133,$M133))</f>
        <v/>
      </c>
      <c r="Q133" t="str">
        <f>IF($A133="","",COUNTIFS($O$7:O133,O133,$P$7:P133,P133))</f>
        <v/>
      </c>
      <c r="R133" t="str">
        <f t="shared" si="1"/>
        <v/>
      </c>
    </row>
    <row r="134" spans="1:18" ht="48" customHeight="1">
      <c r="A134" s="5"/>
      <c r="B134" s="6"/>
      <c r="C134" s="6"/>
      <c r="D134" s="6"/>
      <c r="E134" s="6"/>
      <c r="F134" s="5"/>
      <c r="G134" s="5"/>
      <c r="H134" s="5"/>
      <c r="I134" s="6"/>
      <c r="J134" s="6"/>
      <c r="K134" s="6"/>
      <c r="L134" s="5"/>
      <c r="M134" s="5"/>
      <c r="N134" s="50"/>
      <c r="O134" t="str">
        <f>IF($A134="","",IF('Risk Matrix'!$B$3="Worst Credible",$G134,$L134))</f>
        <v/>
      </c>
      <c r="P134" t="str">
        <f>IF($A134="","",IF('Risk Matrix'!$B$3="Worst Credible",$H134,$M134))</f>
        <v/>
      </c>
      <c r="Q134" t="str">
        <f>IF($A134="","",COUNTIFS($O$7:O134,O134,$P$7:P134,P134))</f>
        <v/>
      </c>
      <c r="R134" t="str">
        <f t="shared" ref="R134:R197" si="2">IF($A134="","",O134&amp;"|"&amp;P134&amp;"|"&amp;Q134)</f>
        <v/>
      </c>
    </row>
    <row r="135" spans="1:18" ht="48" customHeight="1">
      <c r="A135" s="5"/>
      <c r="B135" s="6"/>
      <c r="C135" s="6"/>
      <c r="D135" s="6"/>
      <c r="E135" s="6"/>
      <c r="F135" s="5"/>
      <c r="G135" s="5"/>
      <c r="H135" s="5"/>
      <c r="I135" s="6"/>
      <c r="J135" s="6"/>
      <c r="K135" s="6"/>
      <c r="L135" s="5"/>
      <c r="M135" s="5"/>
      <c r="N135" s="50"/>
      <c r="O135" t="str">
        <f>IF($A135="","",IF('Risk Matrix'!$B$3="Worst Credible",$G135,$L135))</f>
        <v/>
      </c>
      <c r="P135" t="str">
        <f>IF($A135="","",IF('Risk Matrix'!$B$3="Worst Credible",$H135,$M135))</f>
        <v/>
      </c>
      <c r="Q135" t="str">
        <f>IF($A135="","",COUNTIFS($O$7:O135,O135,$P$7:P135,P135))</f>
        <v/>
      </c>
      <c r="R135" t="str">
        <f t="shared" si="2"/>
        <v/>
      </c>
    </row>
    <row r="136" spans="1:18" ht="48" customHeight="1">
      <c r="A136" s="5"/>
      <c r="B136" s="6"/>
      <c r="C136" s="6"/>
      <c r="D136" s="6"/>
      <c r="E136" s="6"/>
      <c r="F136" s="5"/>
      <c r="G136" s="5"/>
      <c r="H136" s="5"/>
      <c r="I136" s="6"/>
      <c r="J136" s="6"/>
      <c r="K136" s="6"/>
      <c r="L136" s="5"/>
      <c r="M136" s="5"/>
      <c r="N136" s="50"/>
      <c r="O136" t="str">
        <f>IF($A136="","",IF('Risk Matrix'!$B$3="Worst Credible",$G136,$L136))</f>
        <v/>
      </c>
      <c r="P136" t="str">
        <f>IF($A136="","",IF('Risk Matrix'!$B$3="Worst Credible",$H136,$M136))</f>
        <v/>
      </c>
      <c r="Q136" t="str">
        <f>IF($A136="","",COUNTIFS($O$7:O136,O136,$P$7:P136,P136))</f>
        <v/>
      </c>
      <c r="R136" t="str">
        <f t="shared" si="2"/>
        <v/>
      </c>
    </row>
    <row r="137" spans="1:18" ht="48" customHeight="1">
      <c r="A137" s="5"/>
      <c r="B137" s="6"/>
      <c r="C137" s="6"/>
      <c r="D137" s="6"/>
      <c r="E137" s="6"/>
      <c r="F137" s="5"/>
      <c r="G137" s="5"/>
      <c r="H137" s="5"/>
      <c r="I137" s="6"/>
      <c r="J137" s="6"/>
      <c r="K137" s="6"/>
      <c r="L137" s="5"/>
      <c r="M137" s="5"/>
      <c r="N137" s="50"/>
      <c r="O137" t="str">
        <f>IF($A137="","",IF('Risk Matrix'!$B$3="Worst Credible",$G137,$L137))</f>
        <v/>
      </c>
      <c r="P137" t="str">
        <f>IF($A137="","",IF('Risk Matrix'!$B$3="Worst Credible",$H137,$M137))</f>
        <v/>
      </c>
      <c r="Q137" t="str">
        <f>IF($A137="","",COUNTIFS($O$7:O137,O137,$P$7:P137,P137))</f>
        <v/>
      </c>
      <c r="R137" t="str">
        <f t="shared" si="2"/>
        <v/>
      </c>
    </row>
    <row r="138" spans="1:18" ht="48" customHeight="1">
      <c r="A138" s="5"/>
      <c r="B138" s="6"/>
      <c r="C138" s="6"/>
      <c r="D138" s="6"/>
      <c r="E138" s="6"/>
      <c r="F138" s="5"/>
      <c r="G138" s="5"/>
      <c r="H138" s="5"/>
      <c r="I138" s="6"/>
      <c r="J138" s="6"/>
      <c r="K138" s="6"/>
      <c r="L138" s="5"/>
      <c r="M138" s="5"/>
      <c r="N138" s="50"/>
      <c r="O138" t="str">
        <f>IF($A138="","",IF('Risk Matrix'!$B$3="Worst Credible",$G138,$L138))</f>
        <v/>
      </c>
      <c r="P138" t="str">
        <f>IF($A138="","",IF('Risk Matrix'!$B$3="Worst Credible",$H138,$M138))</f>
        <v/>
      </c>
      <c r="Q138" t="str">
        <f>IF($A138="","",COUNTIFS($O$7:O138,O138,$P$7:P138,P138))</f>
        <v/>
      </c>
      <c r="R138" t="str">
        <f t="shared" si="2"/>
        <v/>
      </c>
    </row>
    <row r="139" spans="1:18" ht="48" customHeight="1">
      <c r="A139" s="5"/>
      <c r="B139" s="6"/>
      <c r="C139" s="6"/>
      <c r="D139" s="6"/>
      <c r="E139" s="6"/>
      <c r="F139" s="5"/>
      <c r="G139" s="5"/>
      <c r="H139" s="5"/>
      <c r="I139" s="6"/>
      <c r="J139" s="6"/>
      <c r="K139" s="6"/>
      <c r="L139" s="5"/>
      <c r="M139" s="5"/>
      <c r="N139" s="50"/>
      <c r="O139" t="str">
        <f>IF($A139="","",IF('Risk Matrix'!$B$3="Worst Credible",$G139,$L139))</f>
        <v/>
      </c>
      <c r="P139" t="str">
        <f>IF($A139="","",IF('Risk Matrix'!$B$3="Worst Credible",$H139,$M139))</f>
        <v/>
      </c>
      <c r="Q139" t="str">
        <f>IF($A139="","",COUNTIFS($O$7:O139,O139,$P$7:P139,P139))</f>
        <v/>
      </c>
      <c r="R139" t="str">
        <f t="shared" si="2"/>
        <v/>
      </c>
    </row>
    <row r="140" spans="1:18" ht="48" customHeight="1">
      <c r="A140" s="5"/>
      <c r="B140" s="6"/>
      <c r="C140" s="6"/>
      <c r="D140" s="6"/>
      <c r="E140" s="6"/>
      <c r="F140" s="5"/>
      <c r="G140" s="5"/>
      <c r="H140" s="5"/>
      <c r="I140" s="6"/>
      <c r="J140" s="6"/>
      <c r="K140" s="6"/>
      <c r="L140" s="5"/>
      <c r="M140" s="5"/>
      <c r="N140" s="50"/>
      <c r="O140" t="str">
        <f>IF($A140="","",IF('Risk Matrix'!$B$3="Worst Credible",$G140,$L140))</f>
        <v/>
      </c>
      <c r="P140" t="str">
        <f>IF($A140="","",IF('Risk Matrix'!$B$3="Worst Credible",$H140,$M140))</f>
        <v/>
      </c>
      <c r="Q140" t="str">
        <f>IF($A140="","",COUNTIFS($O$7:O140,O140,$P$7:P140,P140))</f>
        <v/>
      </c>
      <c r="R140" t="str">
        <f t="shared" si="2"/>
        <v/>
      </c>
    </row>
    <row r="141" spans="1:18" ht="48" customHeight="1">
      <c r="A141" s="5"/>
      <c r="B141" s="6"/>
      <c r="C141" s="6"/>
      <c r="D141" s="6"/>
      <c r="E141" s="6"/>
      <c r="F141" s="5"/>
      <c r="G141" s="5"/>
      <c r="H141" s="5"/>
      <c r="I141" s="6"/>
      <c r="J141" s="6"/>
      <c r="K141" s="6"/>
      <c r="L141" s="5"/>
      <c r="M141" s="5"/>
      <c r="N141" s="50"/>
      <c r="O141" t="str">
        <f>IF($A141="","",IF('Risk Matrix'!$B$3="Worst Credible",$G141,$L141))</f>
        <v/>
      </c>
      <c r="P141" t="str">
        <f>IF($A141="","",IF('Risk Matrix'!$B$3="Worst Credible",$H141,$M141))</f>
        <v/>
      </c>
      <c r="Q141" t="str">
        <f>IF($A141="","",COUNTIFS($O$7:O141,O141,$P$7:P141,P141))</f>
        <v/>
      </c>
      <c r="R141" t="str">
        <f t="shared" si="2"/>
        <v/>
      </c>
    </row>
    <row r="142" spans="1:18" ht="48" customHeight="1">
      <c r="A142" s="5"/>
      <c r="B142" s="6"/>
      <c r="C142" s="6"/>
      <c r="D142" s="6"/>
      <c r="E142" s="6"/>
      <c r="F142" s="5"/>
      <c r="G142" s="5"/>
      <c r="H142" s="5"/>
      <c r="I142" s="6"/>
      <c r="J142" s="6"/>
      <c r="K142" s="6"/>
      <c r="L142" s="5"/>
      <c r="M142" s="5"/>
      <c r="N142" s="50"/>
      <c r="O142" t="str">
        <f>IF($A142="","",IF('Risk Matrix'!$B$3="Worst Credible",$G142,$L142))</f>
        <v/>
      </c>
      <c r="P142" t="str">
        <f>IF($A142="","",IF('Risk Matrix'!$B$3="Worst Credible",$H142,$M142))</f>
        <v/>
      </c>
      <c r="Q142" t="str">
        <f>IF($A142="","",COUNTIFS($O$7:O142,O142,$P$7:P142,P142))</f>
        <v/>
      </c>
      <c r="R142" t="str">
        <f t="shared" si="2"/>
        <v/>
      </c>
    </row>
    <row r="143" spans="1:18" ht="48" customHeight="1">
      <c r="A143" s="5"/>
      <c r="B143" s="6"/>
      <c r="C143" s="6"/>
      <c r="D143" s="6"/>
      <c r="E143" s="6"/>
      <c r="F143" s="5"/>
      <c r="G143" s="5"/>
      <c r="H143" s="5"/>
      <c r="I143" s="6"/>
      <c r="J143" s="6"/>
      <c r="K143" s="6"/>
      <c r="L143" s="5"/>
      <c r="M143" s="5"/>
      <c r="N143" s="50"/>
      <c r="O143" t="str">
        <f>IF($A143="","",IF('Risk Matrix'!$B$3="Worst Credible",$G143,$L143))</f>
        <v/>
      </c>
      <c r="P143" t="str">
        <f>IF($A143="","",IF('Risk Matrix'!$B$3="Worst Credible",$H143,$M143))</f>
        <v/>
      </c>
      <c r="Q143" t="str">
        <f>IF($A143="","",COUNTIFS($O$7:O143,O143,$P$7:P143,P143))</f>
        <v/>
      </c>
      <c r="R143" t="str">
        <f t="shared" si="2"/>
        <v/>
      </c>
    </row>
    <row r="144" spans="1:18" ht="48" customHeight="1">
      <c r="A144" s="5"/>
      <c r="B144" s="6"/>
      <c r="C144" s="6"/>
      <c r="D144" s="6"/>
      <c r="E144" s="6"/>
      <c r="F144" s="5"/>
      <c r="G144" s="5"/>
      <c r="H144" s="5"/>
      <c r="I144" s="6"/>
      <c r="J144" s="6"/>
      <c r="K144" s="6"/>
      <c r="L144" s="5"/>
      <c r="M144" s="5"/>
      <c r="N144" s="50"/>
      <c r="O144" t="str">
        <f>IF($A144="","",IF('Risk Matrix'!$B$3="Worst Credible",$G144,$L144))</f>
        <v/>
      </c>
      <c r="P144" t="str">
        <f>IF($A144="","",IF('Risk Matrix'!$B$3="Worst Credible",$H144,$M144))</f>
        <v/>
      </c>
      <c r="Q144" t="str">
        <f>IF($A144="","",COUNTIFS($O$7:O144,O144,$P$7:P144,P144))</f>
        <v/>
      </c>
      <c r="R144" t="str">
        <f t="shared" si="2"/>
        <v/>
      </c>
    </row>
    <row r="145" spans="1:18" ht="48" customHeight="1">
      <c r="A145" s="5"/>
      <c r="B145" s="6"/>
      <c r="C145" s="6"/>
      <c r="D145" s="6"/>
      <c r="E145" s="6"/>
      <c r="F145" s="5"/>
      <c r="G145" s="5"/>
      <c r="H145" s="5"/>
      <c r="I145" s="6"/>
      <c r="J145" s="6"/>
      <c r="K145" s="6"/>
      <c r="L145" s="5"/>
      <c r="M145" s="5"/>
      <c r="N145" s="50"/>
      <c r="O145" t="str">
        <f>IF($A145="","",IF('Risk Matrix'!$B$3="Worst Credible",$G145,$L145))</f>
        <v/>
      </c>
      <c r="P145" t="str">
        <f>IF($A145="","",IF('Risk Matrix'!$B$3="Worst Credible",$H145,$M145))</f>
        <v/>
      </c>
      <c r="Q145" t="str">
        <f>IF($A145="","",COUNTIFS($O$7:O145,O145,$P$7:P145,P145))</f>
        <v/>
      </c>
      <c r="R145" t="str">
        <f t="shared" si="2"/>
        <v/>
      </c>
    </row>
    <row r="146" spans="1:18" ht="48" customHeight="1">
      <c r="A146" s="5"/>
      <c r="B146" s="6"/>
      <c r="C146" s="6"/>
      <c r="D146" s="6"/>
      <c r="E146" s="6"/>
      <c r="F146" s="5"/>
      <c r="G146" s="5"/>
      <c r="H146" s="5"/>
      <c r="I146" s="6"/>
      <c r="J146" s="6"/>
      <c r="K146" s="6"/>
      <c r="L146" s="5"/>
      <c r="M146" s="5"/>
      <c r="N146" s="50"/>
      <c r="O146" t="str">
        <f>IF($A146="","",IF('Risk Matrix'!$B$3="Worst Credible",$G146,$L146))</f>
        <v/>
      </c>
      <c r="P146" t="str">
        <f>IF($A146="","",IF('Risk Matrix'!$B$3="Worst Credible",$H146,$M146))</f>
        <v/>
      </c>
      <c r="Q146" t="str">
        <f>IF($A146="","",COUNTIFS($O$7:O146,O146,$P$7:P146,P146))</f>
        <v/>
      </c>
      <c r="R146" t="str">
        <f t="shared" si="2"/>
        <v/>
      </c>
    </row>
    <row r="147" spans="1:18" ht="48" customHeight="1">
      <c r="A147" s="5"/>
      <c r="B147" s="6"/>
      <c r="C147" s="6"/>
      <c r="D147" s="6"/>
      <c r="E147" s="6"/>
      <c r="F147" s="5"/>
      <c r="G147" s="5"/>
      <c r="H147" s="5"/>
      <c r="I147" s="6"/>
      <c r="J147" s="6"/>
      <c r="K147" s="6"/>
      <c r="L147" s="5"/>
      <c r="M147" s="5"/>
      <c r="N147" s="50"/>
      <c r="O147" t="str">
        <f>IF($A147="","",IF('Risk Matrix'!$B$3="Worst Credible",$G147,$L147))</f>
        <v/>
      </c>
      <c r="P147" t="str">
        <f>IF($A147="","",IF('Risk Matrix'!$B$3="Worst Credible",$H147,$M147))</f>
        <v/>
      </c>
      <c r="Q147" t="str">
        <f>IF($A147="","",COUNTIFS($O$7:O147,O147,$P$7:P147,P147))</f>
        <v/>
      </c>
      <c r="R147" t="str">
        <f t="shared" si="2"/>
        <v/>
      </c>
    </row>
    <row r="148" spans="1:18" ht="48" customHeight="1">
      <c r="A148" s="5"/>
      <c r="B148" s="6"/>
      <c r="C148" s="6"/>
      <c r="D148" s="6"/>
      <c r="E148" s="6"/>
      <c r="F148" s="5"/>
      <c r="G148" s="5"/>
      <c r="H148" s="5"/>
      <c r="I148" s="6"/>
      <c r="J148" s="6"/>
      <c r="K148" s="6"/>
      <c r="L148" s="5"/>
      <c r="M148" s="5"/>
      <c r="N148" s="50"/>
      <c r="O148" t="str">
        <f>IF($A148="","",IF('Risk Matrix'!$B$3="Worst Credible",$G148,$L148))</f>
        <v/>
      </c>
      <c r="P148" t="str">
        <f>IF($A148="","",IF('Risk Matrix'!$B$3="Worst Credible",$H148,$M148))</f>
        <v/>
      </c>
      <c r="Q148" t="str">
        <f>IF($A148="","",COUNTIFS($O$7:O148,O148,$P$7:P148,P148))</f>
        <v/>
      </c>
      <c r="R148" t="str">
        <f t="shared" si="2"/>
        <v/>
      </c>
    </row>
    <row r="149" spans="1:18" ht="48" customHeight="1">
      <c r="A149" s="5"/>
      <c r="B149" s="6"/>
      <c r="C149" s="6"/>
      <c r="D149" s="6"/>
      <c r="E149" s="6"/>
      <c r="F149" s="5"/>
      <c r="G149" s="5"/>
      <c r="H149" s="5"/>
      <c r="I149" s="6"/>
      <c r="J149" s="6"/>
      <c r="K149" s="6"/>
      <c r="L149" s="5"/>
      <c r="M149" s="5"/>
      <c r="N149" s="50"/>
      <c r="O149" t="str">
        <f>IF($A149="","",IF('Risk Matrix'!$B$3="Worst Credible",$G149,$L149))</f>
        <v/>
      </c>
      <c r="P149" t="str">
        <f>IF($A149="","",IF('Risk Matrix'!$B$3="Worst Credible",$H149,$M149))</f>
        <v/>
      </c>
      <c r="Q149" t="str">
        <f>IF($A149="","",COUNTIFS($O$7:O149,O149,$P$7:P149,P149))</f>
        <v/>
      </c>
      <c r="R149" t="str">
        <f t="shared" si="2"/>
        <v/>
      </c>
    </row>
    <row r="150" spans="1:18" ht="48" customHeight="1">
      <c r="A150" s="5"/>
      <c r="B150" s="6"/>
      <c r="C150" s="6"/>
      <c r="D150" s="6"/>
      <c r="E150" s="6"/>
      <c r="F150" s="5"/>
      <c r="G150" s="5"/>
      <c r="H150" s="5"/>
      <c r="I150" s="6"/>
      <c r="J150" s="6"/>
      <c r="K150" s="6"/>
      <c r="L150" s="5"/>
      <c r="M150" s="5"/>
      <c r="N150" s="50"/>
      <c r="O150" t="str">
        <f>IF($A150="","",IF('Risk Matrix'!$B$3="Worst Credible",$G150,$L150))</f>
        <v/>
      </c>
      <c r="P150" t="str">
        <f>IF($A150="","",IF('Risk Matrix'!$B$3="Worst Credible",$H150,$M150))</f>
        <v/>
      </c>
      <c r="Q150" t="str">
        <f>IF($A150="","",COUNTIFS($O$7:O150,O150,$P$7:P150,P150))</f>
        <v/>
      </c>
      <c r="R150" t="str">
        <f t="shared" si="2"/>
        <v/>
      </c>
    </row>
    <row r="151" spans="1:18" ht="48" customHeight="1">
      <c r="A151" s="5"/>
      <c r="B151" s="6"/>
      <c r="C151" s="6"/>
      <c r="D151" s="6"/>
      <c r="E151" s="6"/>
      <c r="F151" s="5"/>
      <c r="G151" s="5"/>
      <c r="H151" s="5"/>
      <c r="I151" s="6"/>
      <c r="J151" s="6"/>
      <c r="K151" s="6"/>
      <c r="L151" s="5"/>
      <c r="M151" s="5"/>
      <c r="N151" s="50"/>
      <c r="O151" t="str">
        <f>IF($A151="","",IF('Risk Matrix'!$B$3="Worst Credible",$G151,$L151))</f>
        <v/>
      </c>
      <c r="P151" t="str">
        <f>IF($A151="","",IF('Risk Matrix'!$B$3="Worst Credible",$H151,$M151))</f>
        <v/>
      </c>
      <c r="Q151" t="str">
        <f>IF($A151="","",COUNTIFS($O$7:O151,O151,$P$7:P151,P151))</f>
        <v/>
      </c>
      <c r="R151" t="str">
        <f t="shared" si="2"/>
        <v/>
      </c>
    </row>
    <row r="152" spans="1:18" ht="48" customHeight="1">
      <c r="A152" s="5"/>
      <c r="B152" s="6"/>
      <c r="C152" s="6"/>
      <c r="D152" s="6"/>
      <c r="E152" s="6"/>
      <c r="F152" s="5"/>
      <c r="G152" s="5"/>
      <c r="H152" s="5"/>
      <c r="I152" s="6"/>
      <c r="J152" s="6"/>
      <c r="K152" s="6"/>
      <c r="L152" s="5"/>
      <c r="M152" s="5"/>
      <c r="N152" s="50"/>
      <c r="O152" t="str">
        <f>IF($A152="","",IF('Risk Matrix'!$B$3="Worst Credible",$G152,$L152))</f>
        <v/>
      </c>
      <c r="P152" t="str">
        <f>IF($A152="","",IF('Risk Matrix'!$B$3="Worst Credible",$H152,$M152))</f>
        <v/>
      </c>
      <c r="Q152" t="str">
        <f>IF($A152="","",COUNTIFS($O$7:O152,O152,$P$7:P152,P152))</f>
        <v/>
      </c>
      <c r="R152" t="str">
        <f t="shared" si="2"/>
        <v/>
      </c>
    </row>
    <row r="153" spans="1:18" ht="48" customHeight="1">
      <c r="A153" s="5"/>
      <c r="B153" s="6"/>
      <c r="C153" s="6"/>
      <c r="D153" s="6"/>
      <c r="E153" s="6"/>
      <c r="F153" s="5"/>
      <c r="G153" s="5"/>
      <c r="H153" s="5"/>
      <c r="I153" s="6"/>
      <c r="J153" s="6"/>
      <c r="K153" s="6"/>
      <c r="L153" s="5"/>
      <c r="M153" s="5"/>
      <c r="N153" s="50"/>
      <c r="O153" t="str">
        <f>IF($A153="","",IF('Risk Matrix'!$B$3="Worst Credible",$G153,$L153))</f>
        <v/>
      </c>
      <c r="P153" t="str">
        <f>IF($A153="","",IF('Risk Matrix'!$B$3="Worst Credible",$H153,$M153))</f>
        <v/>
      </c>
      <c r="Q153" t="str">
        <f>IF($A153="","",COUNTIFS($O$7:O153,O153,$P$7:P153,P153))</f>
        <v/>
      </c>
      <c r="R153" t="str">
        <f t="shared" si="2"/>
        <v/>
      </c>
    </row>
    <row r="154" spans="1:18" ht="48" customHeight="1">
      <c r="A154" s="5"/>
      <c r="B154" s="6"/>
      <c r="C154" s="6"/>
      <c r="D154" s="6"/>
      <c r="E154" s="6"/>
      <c r="F154" s="5"/>
      <c r="G154" s="5"/>
      <c r="H154" s="5"/>
      <c r="I154" s="6"/>
      <c r="J154" s="6"/>
      <c r="K154" s="6"/>
      <c r="L154" s="5"/>
      <c r="M154" s="5"/>
      <c r="N154" s="50"/>
      <c r="O154" t="str">
        <f>IF($A154="","",IF('Risk Matrix'!$B$3="Worst Credible",$G154,$L154))</f>
        <v/>
      </c>
      <c r="P154" t="str">
        <f>IF($A154="","",IF('Risk Matrix'!$B$3="Worst Credible",$H154,$M154))</f>
        <v/>
      </c>
      <c r="Q154" t="str">
        <f>IF($A154="","",COUNTIFS($O$7:O154,O154,$P$7:P154,P154))</f>
        <v/>
      </c>
      <c r="R154" t="str">
        <f t="shared" si="2"/>
        <v/>
      </c>
    </row>
    <row r="155" spans="1:18" ht="48" customHeight="1">
      <c r="A155" s="5"/>
      <c r="B155" s="6"/>
      <c r="C155" s="6"/>
      <c r="D155" s="6"/>
      <c r="E155" s="6"/>
      <c r="F155" s="5"/>
      <c r="G155" s="5"/>
      <c r="H155" s="5"/>
      <c r="I155" s="6"/>
      <c r="J155" s="6"/>
      <c r="K155" s="6"/>
      <c r="L155" s="5"/>
      <c r="M155" s="5"/>
      <c r="N155" s="50"/>
      <c r="O155" t="str">
        <f>IF($A155="","",IF('Risk Matrix'!$B$3="Worst Credible",$G155,$L155))</f>
        <v/>
      </c>
      <c r="P155" t="str">
        <f>IF($A155="","",IF('Risk Matrix'!$B$3="Worst Credible",$H155,$M155))</f>
        <v/>
      </c>
      <c r="Q155" t="str">
        <f>IF($A155="","",COUNTIFS($O$7:O155,O155,$P$7:P155,P155))</f>
        <v/>
      </c>
      <c r="R155" t="str">
        <f t="shared" si="2"/>
        <v/>
      </c>
    </row>
    <row r="156" spans="1:18" ht="48" customHeight="1">
      <c r="A156" s="5"/>
      <c r="B156" s="6"/>
      <c r="C156" s="6"/>
      <c r="D156" s="6"/>
      <c r="E156" s="6"/>
      <c r="F156" s="5"/>
      <c r="G156" s="5"/>
      <c r="H156" s="5"/>
      <c r="I156" s="6"/>
      <c r="J156" s="6"/>
      <c r="K156" s="6"/>
      <c r="L156" s="5"/>
      <c r="M156" s="5"/>
      <c r="N156" s="50"/>
      <c r="O156" t="str">
        <f>IF($A156="","",IF('Risk Matrix'!$B$3="Worst Credible",$G156,$L156))</f>
        <v/>
      </c>
      <c r="P156" t="str">
        <f>IF($A156="","",IF('Risk Matrix'!$B$3="Worst Credible",$H156,$M156))</f>
        <v/>
      </c>
      <c r="Q156" t="str">
        <f>IF($A156="","",COUNTIFS($O$7:O156,O156,$P$7:P156,P156))</f>
        <v/>
      </c>
      <c r="R156" t="str">
        <f t="shared" si="2"/>
        <v/>
      </c>
    </row>
    <row r="157" spans="1:18" ht="48" customHeight="1">
      <c r="A157" s="5"/>
      <c r="B157" s="6"/>
      <c r="C157" s="6"/>
      <c r="D157" s="6"/>
      <c r="E157" s="6"/>
      <c r="F157" s="5"/>
      <c r="G157" s="5"/>
      <c r="H157" s="5"/>
      <c r="I157" s="6"/>
      <c r="J157" s="6"/>
      <c r="K157" s="6"/>
      <c r="L157" s="5"/>
      <c r="M157" s="5"/>
      <c r="N157" s="50"/>
      <c r="O157" t="str">
        <f>IF($A157="","",IF('Risk Matrix'!$B$3="Worst Credible",$G157,$L157))</f>
        <v/>
      </c>
      <c r="P157" t="str">
        <f>IF($A157="","",IF('Risk Matrix'!$B$3="Worst Credible",$H157,$M157))</f>
        <v/>
      </c>
      <c r="Q157" t="str">
        <f>IF($A157="","",COUNTIFS($O$7:O157,O157,$P$7:P157,P157))</f>
        <v/>
      </c>
      <c r="R157" t="str">
        <f t="shared" si="2"/>
        <v/>
      </c>
    </row>
    <row r="158" spans="1:18" ht="48" customHeight="1">
      <c r="A158" s="5"/>
      <c r="B158" s="6"/>
      <c r="C158" s="6"/>
      <c r="D158" s="6"/>
      <c r="E158" s="6"/>
      <c r="F158" s="5"/>
      <c r="G158" s="5"/>
      <c r="H158" s="5"/>
      <c r="I158" s="6"/>
      <c r="J158" s="6"/>
      <c r="K158" s="6"/>
      <c r="L158" s="5"/>
      <c r="M158" s="5"/>
      <c r="N158" s="50"/>
      <c r="O158" t="str">
        <f>IF($A158="","",IF('Risk Matrix'!$B$3="Worst Credible",$G158,$L158))</f>
        <v/>
      </c>
      <c r="P158" t="str">
        <f>IF($A158="","",IF('Risk Matrix'!$B$3="Worst Credible",$H158,$M158))</f>
        <v/>
      </c>
      <c r="Q158" t="str">
        <f>IF($A158="","",COUNTIFS($O$7:O158,O158,$P$7:P158,P158))</f>
        <v/>
      </c>
      <c r="R158" t="str">
        <f t="shared" si="2"/>
        <v/>
      </c>
    </row>
    <row r="159" spans="1:18" ht="48" customHeight="1">
      <c r="A159" s="5"/>
      <c r="B159" s="6"/>
      <c r="C159" s="6"/>
      <c r="D159" s="6"/>
      <c r="E159" s="6"/>
      <c r="F159" s="5"/>
      <c r="G159" s="5"/>
      <c r="H159" s="5"/>
      <c r="I159" s="6"/>
      <c r="J159" s="6"/>
      <c r="K159" s="6"/>
      <c r="L159" s="5"/>
      <c r="M159" s="5"/>
      <c r="N159" s="50"/>
      <c r="O159" t="str">
        <f>IF($A159="","",IF('Risk Matrix'!$B$3="Worst Credible",$G159,$L159))</f>
        <v/>
      </c>
      <c r="P159" t="str">
        <f>IF($A159="","",IF('Risk Matrix'!$B$3="Worst Credible",$H159,$M159))</f>
        <v/>
      </c>
      <c r="Q159" t="str">
        <f>IF($A159="","",COUNTIFS($O$7:O159,O159,$P$7:P159,P159))</f>
        <v/>
      </c>
      <c r="R159" t="str">
        <f t="shared" si="2"/>
        <v/>
      </c>
    </row>
    <row r="160" spans="1:18" ht="48" customHeight="1">
      <c r="A160" s="5"/>
      <c r="B160" s="6"/>
      <c r="C160" s="6"/>
      <c r="D160" s="6"/>
      <c r="E160" s="6"/>
      <c r="F160" s="5"/>
      <c r="G160" s="5"/>
      <c r="H160" s="5"/>
      <c r="I160" s="6"/>
      <c r="J160" s="6"/>
      <c r="K160" s="6"/>
      <c r="L160" s="5"/>
      <c r="M160" s="5"/>
      <c r="N160" s="50"/>
      <c r="O160" t="str">
        <f>IF($A160="","",IF('Risk Matrix'!$B$3="Worst Credible",$G160,$L160))</f>
        <v/>
      </c>
      <c r="P160" t="str">
        <f>IF($A160="","",IF('Risk Matrix'!$B$3="Worst Credible",$H160,$M160))</f>
        <v/>
      </c>
      <c r="Q160" t="str">
        <f>IF($A160="","",COUNTIFS($O$7:O160,O160,$P$7:P160,P160))</f>
        <v/>
      </c>
      <c r="R160" t="str">
        <f t="shared" si="2"/>
        <v/>
      </c>
    </row>
    <row r="161" spans="1:18" ht="48" customHeight="1">
      <c r="A161" s="5"/>
      <c r="B161" s="6"/>
      <c r="C161" s="6"/>
      <c r="D161" s="6"/>
      <c r="E161" s="6"/>
      <c r="F161" s="5"/>
      <c r="G161" s="5"/>
      <c r="H161" s="5"/>
      <c r="I161" s="6"/>
      <c r="J161" s="6"/>
      <c r="K161" s="6"/>
      <c r="L161" s="5"/>
      <c r="M161" s="5"/>
      <c r="N161" s="50"/>
      <c r="O161" t="str">
        <f>IF($A161="","",IF('Risk Matrix'!$B$3="Worst Credible",$G161,$L161))</f>
        <v/>
      </c>
      <c r="P161" t="str">
        <f>IF($A161="","",IF('Risk Matrix'!$B$3="Worst Credible",$H161,$M161))</f>
        <v/>
      </c>
      <c r="Q161" t="str">
        <f>IF($A161="","",COUNTIFS($O$7:O161,O161,$P$7:P161,P161))</f>
        <v/>
      </c>
      <c r="R161" t="str">
        <f t="shared" si="2"/>
        <v/>
      </c>
    </row>
    <row r="162" spans="1:18" ht="48" customHeight="1">
      <c r="A162" s="5"/>
      <c r="B162" s="6"/>
      <c r="C162" s="6"/>
      <c r="D162" s="6"/>
      <c r="E162" s="6"/>
      <c r="F162" s="5"/>
      <c r="G162" s="5"/>
      <c r="H162" s="5"/>
      <c r="I162" s="6"/>
      <c r="J162" s="6"/>
      <c r="K162" s="6"/>
      <c r="L162" s="5"/>
      <c r="M162" s="5"/>
      <c r="N162" s="50"/>
      <c r="O162" t="str">
        <f>IF($A162="","",IF('Risk Matrix'!$B$3="Worst Credible",$G162,$L162))</f>
        <v/>
      </c>
      <c r="P162" t="str">
        <f>IF($A162="","",IF('Risk Matrix'!$B$3="Worst Credible",$H162,$M162))</f>
        <v/>
      </c>
      <c r="Q162" t="str">
        <f>IF($A162="","",COUNTIFS($O$7:O162,O162,$P$7:P162,P162))</f>
        <v/>
      </c>
      <c r="R162" t="str">
        <f t="shared" si="2"/>
        <v/>
      </c>
    </row>
    <row r="163" spans="1:18" ht="48" customHeight="1">
      <c r="A163" s="5"/>
      <c r="B163" s="6"/>
      <c r="C163" s="6"/>
      <c r="D163" s="6"/>
      <c r="E163" s="6"/>
      <c r="F163" s="5"/>
      <c r="G163" s="5"/>
      <c r="H163" s="5"/>
      <c r="I163" s="6"/>
      <c r="J163" s="6"/>
      <c r="K163" s="6"/>
      <c r="L163" s="5"/>
      <c r="M163" s="5"/>
      <c r="N163" s="50"/>
      <c r="O163" t="str">
        <f>IF($A163="","",IF('Risk Matrix'!$B$3="Worst Credible",$G163,$L163))</f>
        <v/>
      </c>
      <c r="P163" t="str">
        <f>IF($A163="","",IF('Risk Matrix'!$B$3="Worst Credible",$H163,$M163))</f>
        <v/>
      </c>
      <c r="Q163" t="str">
        <f>IF($A163="","",COUNTIFS($O$7:O163,O163,$P$7:P163,P163))</f>
        <v/>
      </c>
      <c r="R163" t="str">
        <f t="shared" si="2"/>
        <v/>
      </c>
    </row>
    <row r="164" spans="1:18" ht="48" customHeight="1">
      <c r="A164" s="5"/>
      <c r="B164" s="6"/>
      <c r="C164" s="6"/>
      <c r="D164" s="6"/>
      <c r="E164" s="6"/>
      <c r="F164" s="5"/>
      <c r="G164" s="5"/>
      <c r="H164" s="5"/>
      <c r="I164" s="6"/>
      <c r="J164" s="6"/>
      <c r="K164" s="6"/>
      <c r="L164" s="5"/>
      <c r="M164" s="5"/>
      <c r="N164" s="50"/>
      <c r="O164" t="str">
        <f>IF($A164="","",IF('Risk Matrix'!$B$3="Worst Credible",$G164,$L164))</f>
        <v/>
      </c>
      <c r="P164" t="str">
        <f>IF($A164="","",IF('Risk Matrix'!$B$3="Worst Credible",$H164,$M164))</f>
        <v/>
      </c>
      <c r="Q164" t="str">
        <f>IF($A164="","",COUNTIFS($O$7:O164,O164,$P$7:P164,P164))</f>
        <v/>
      </c>
      <c r="R164" t="str">
        <f t="shared" si="2"/>
        <v/>
      </c>
    </row>
    <row r="165" spans="1:18" ht="48" customHeight="1">
      <c r="A165" s="5"/>
      <c r="B165" s="6"/>
      <c r="C165" s="6"/>
      <c r="D165" s="6"/>
      <c r="E165" s="6"/>
      <c r="F165" s="5"/>
      <c r="G165" s="5"/>
      <c r="H165" s="5"/>
      <c r="I165" s="6"/>
      <c r="J165" s="6"/>
      <c r="K165" s="6"/>
      <c r="L165" s="5"/>
      <c r="M165" s="5"/>
      <c r="N165" s="50"/>
      <c r="O165" t="str">
        <f>IF($A165="","",IF('Risk Matrix'!$B$3="Worst Credible",$G165,$L165))</f>
        <v/>
      </c>
      <c r="P165" t="str">
        <f>IF($A165="","",IF('Risk Matrix'!$B$3="Worst Credible",$H165,$M165))</f>
        <v/>
      </c>
      <c r="Q165" t="str">
        <f>IF($A165="","",COUNTIFS($O$7:O165,O165,$P$7:P165,P165))</f>
        <v/>
      </c>
      <c r="R165" t="str">
        <f t="shared" si="2"/>
        <v/>
      </c>
    </row>
    <row r="166" spans="1:18" ht="48" customHeight="1">
      <c r="A166" s="5"/>
      <c r="B166" s="6"/>
      <c r="C166" s="6"/>
      <c r="D166" s="6"/>
      <c r="E166" s="6"/>
      <c r="F166" s="5"/>
      <c r="G166" s="5"/>
      <c r="H166" s="5"/>
      <c r="I166" s="6"/>
      <c r="J166" s="6"/>
      <c r="K166" s="6"/>
      <c r="L166" s="5"/>
      <c r="M166" s="5"/>
      <c r="N166" s="50"/>
      <c r="O166" t="str">
        <f>IF($A166="","",IF('Risk Matrix'!$B$3="Worst Credible",$G166,$L166))</f>
        <v/>
      </c>
      <c r="P166" t="str">
        <f>IF($A166="","",IF('Risk Matrix'!$B$3="Worst Credible",$H166,$M166))</f>
        <v/>
      </c>
      <c r="Q166" t="str">
        <f>IF($A166="","",COUNTIFS($O$7:O166,O166,$P$7:P166,P166))</f>
        <v/>
      </c>
      <c r="R166" t="str">
        <f t="shared" si="2"/>
        <v/>
      </c>
    </row>
    <row r="167" spans="1:18" ht="48" customHeight="1">
      <c r="A167" s="5"/>
      <c r="B167" s="6"/>
      <c r="C167" s="6"/>
      <c r="D167" s="6"/>
      <c r="E167" s="6"/>
      <c r="F167" s="5"/>
      <c r="G167" s="5"/>
      <c r="H167" s="5"/>
      <c r="I167" s="6"/>
      <c r="J167" s="6"/>
      <c r="K167" s="6"/>
      <c r="L167" s="5"/>
      <c r="M167" s="5"/>
      <c r="N167" s="50"/>
      <c r="O167" t="str">
        <f>IF($A167="","",IF('Risk Matrix'!$B$3="Worst Credible",$G167,$L167))</f>
        <v/>
      </c>
      <c r="P167" t="str">
        <f>IF($A167="","",IF('Risk Matrix'!$B$3="Worst Credible",$H167,$M167))</f>
        <v/>
      </c>
      <c r="Q167" t="str">
        <f>IF($A167="","",COUNTIFS($O$7:O167,O167,$P$7:P167,P167))</f>
        <v/>
      </c>
      <c r="R167" t="str">
        <f t="shared" si="2"/>
        <v/>
      </c>
    </row>
    <row r="168" spans="1:18" ht="48" customHeight="1">
      <c r="A168" s="5"/>
      <c r="B168" s="6"/>
      <c r="C168" s="6"/>
      <c r="D168" s="6"/>
      <c r="E168" s="6"/>
      <c r="F168" s="5"/>
      <c r="G168" s="5"/>
      <c r="H168" s="5"/>
      <c r="I168" s="6"/>
      <c r="J168" s="6"/>
      <c r="K168" s="6"/>
      <c r="L168" s="5"/>
      <c r="M168" s="5"/>
      <c r="N168" s="50"/>
      <c r="O168" t="str">
        <f>IF($A168="","",IF('Risk Matrix'!$B$3="Worst Credible",$G168,$L168))</f>
        <v/>
      </c>
      <c r="P168" t="str">
        <f>IF($A168="","",IF('Risk Matrix'!$B$3="Worst Credible",$H168,$M168))</f>
        <v/>
      </c>
      <c r="Q168" t="str">
        <f>IF($A168="","",COUNTIFS($O$7:O168,O168,$P$7:P168,P168))</f>
        <v/>
      </c>
      <c r="R168" t="str">
        <f t="shared" si="2"/>
        <v/>
      </c>
    </row>
    <row r="169" spans="1:18" ht="48" customHeight="1">
      <c r="A169" s="5"/>
      <c r="B169" s="6"/>
      <c r="C169" s="6"/>
      <c r="D169" s="6"/>
      <c r="E169" s="6"/>
      <c r="F169" s="5"/>
      <c r="G169" s="5"/>
      <c r="H169" s="5"/>
      <c r="I169" s="6"/>
      <c r="J169" s="6"/>
      <c r="K169" s="6"/>
      <c r="L169" s="5"/>
      <c r="M169" s="5"/>
      <c r="N169" s="50"/>
      <c r="O169" t="str">
        <f>IF($A169="","",IF('Risk Matrix'!$B$3="Worst Credible",$G169,$L169))</f>
        <v/>
      </c>
      <c r="P169" t="str">
        <f>IF($A169="","",IF('Risk Matrix'!$B$3="Worst Credible",$H169,$M169))</f>
        <v/>
      </c>
      <c r="Q169" t="str">
        <f>IF($A169="","",COUNTIFS($O$7:O169,O169,$P$7:P169,P169))</f>
        <v/>
      </c>
      <c r="R169" t="str">
        <f t="shared" si="2"/>
        <v/>
      </c>
    </row>
    <row r="170" spans="1:18" ht="48" customHeight="1">
      <c r="A170" s="5"/>
      <c r="B170" s="6"/>
      <c r="C170" s="6"/>
      <c r="D170" s="6"/>
      <c r="E170" s="6"/>
      <c r="F170" s="5"/>
      <c r="G170" s="5"/>
      <c r="H170" s="5"/>
      <c r="I170" s="6"/>
      <c r="J170" s="6"/>
      <c r="K170" s="6"/>
      <c r="L170" s="5"/>
      <c r="M170" s="5"/>
      <c r="N170" s="50"/>
      <c r="O170" t="str">
        <f>IF($A170="","",IF('Risk Matrix'!$B$3="Worst Credible",$G170,$L170))</f>
        <v/>
      </c>
      <c r="P170" t="str">
        <f>IF($A170="","",IF('Risk Matrix'!$B$3="Worst Credible",$H170,$M170))</f>
        <v/>
      </c>
      <c r="Q170" t="str">
        <f>IF($A170="","",COUNTIFS($O$7:O170,O170,$P$7:P170,P170))</f>
        <v/>
      </c>
      <c r="R170" t="str">
        <f t="shared" si="2"/>
        <v/>
      </c>
    </row>
    <row r="171" spans="1:18" ht="48" customHeight="1">
      <c r="A171" s="5"/>
      <c r="B171" s="6"/>
      <c r="C171" s="6"/>
      <c r="D171" s="6"/>
      <c r="E171" s="6"/>
      <c r="F171" s="5"/>
      <c r="G171" s="5"/>
      <c r="H171" s="5"/>
      <c r="I171" s="6"/>
      <c r="J171" s="6"/>
      <c r="K171" s="6"/>
      <c r="L171" s="5"/>
      <c r="M171" s="5"/>
      <c r="N171" s="50"/>
      <c r="O171" t="str">
        <f>IF($A171="","",IF('Risk Matrix'!$B$3="Worst Credible",$G171,$L171))</f>
        <v/>
      </c>
      <c r="P171" t="str">
        <f>IF($A171="","",IF('Risk Matrix'!$B$3="Worst Credible",$H171,$M171))</f>
        <v/>
      </c>
      <c r="Q171" t="str">
        <f>IF($A171="","",COUNTIFS($O$7:O171,O171,$P$7:P171,P171))</f>
        <v/>
      </c>
      <c r="R171" t="str">
        <f t="shared" si="2"/>
        <v/>
      </c>
    </row>
    <row r="172" spans="1:18" ht="48" customHeight="1">
      <c r="A172" s="5"/>
      <c r="B172" s="6"/>
      <c r="C172" s="6"/>
      <c r="D172" s="6"/>
      <c r="E172" s="6"/>
      <c r="F172" s="5"/>
      <c r="G172" s="5"/>
      <c r="H172" s="5"/>
      <c r="I172" s="6"/>
      <c r="J172" s="6"/>
      <c r="K172" s="6"/>
      <c r="L172" s="5"/>
      <c r="M172" s="5"/>
      <c r="N172" s="50"/>
      <c r="O172" t="str">
        <f>IF($A172="","",IF('Risk Matrix'!$B$3="Worst Credible",$G172,$L172))</f>
        <v/>
      </c>
      <c r="P172" t="str">
        <f>IF($A172="","",IF('Risk Matrix'!$B$3="Worst Credible",$H172,$M172))</f>
        <v/>
      </c>
      <c r="Q172" t="str">
        <f>IF($A172="","",COUNTIFS($O$7:O172,O172,$P$7:P172,P172))</f>
        <v/>
      </c>
      <c r="R172" t="str">
        <f t="shared" si="2"/>
        <v/>
      </c>
    </row>
    <row r="173" spans="1:18" ht="48" customHeight="1">
      <c r="A173" s="5"/>
      <c r="B173" s="6"/>
      <c r="C173" s="6"/>
      <c r="D173" s="6"/>
      <c r="E173" s="6"/>
      <c r="F173" s="5"/>
      <c r="G173" s="5"/>
      <c r="H173" s="5"/>
      <c r="I173" s="6"/>
      <c r="J173" s="6"/>
      <c r="K173" s="6"/>
      <c r="L173" s="5"/>
      <c r="M173" s="5"/>
      <c r="N173" s="50"/>
      <c r="O173" t="str">
        <f>IF($A173="","",IF('Risk Matrix'!$B$3="Worst Credible",$G173,$L173))</f>
        <v/>
      </c>
      <c r="P173" t="str">
        <f>IF($A173="","",IF('Risk Matrix'!$B$3="Worst Credible",$H173,$M173))</f>
        <v/>
      </c>
      <c r="Q173" t="str">
        <f>IF($A173="","",COUNTIFS($O$7:O173,O173,$P$7:P173,P173))</f>
        <v/>
      </c>
      <c r="R173" t="str">
        <f t="shared" si="2"/>
        <v/>
      </c>
    </row>
    <row r="174" spans="1:18" ht="48" customHeight="1">
      <c r="A174" s="5"/>
      <c r="B174" s="6"/>
      <c r="C174" s="6"/>
      <c r="D174" s="6"/>
      <c r="E174" s="6"/>
      <c r="F174" s="5"/>
      <c r="G174" s="5"/>
      <c r="H174" s="5"/>
      <c r="I174" s="6"/>
      <c r="J174" s="6"/>
      <c r="K174" s="6"/>
      <c r="L174" s="5"/>
      <c r="M174" s="5"/>
      <c r="N174" s="50"/>
      <c r="O174" t="str">
        <f>IF($A174="","",IF('Risk Matrix'!$B$3="Worst Credible",$G174,$L174))</f>
        <v/>
      </c>
      <c r="P174" t="str">
        <f>IF($A174="","",IF('Risk Matrix'!$B$3="Worst Credible",$H174,$M174))</f>
        <v/>
      </c>
      <c r="Q174" t="str">
        <f>IF($A174="","",COUNTIFS($O$7:O174,O174,$P$7:P174,P174))</f>
        <v/>
      </c>
      <c r="R174" t="str">
        <f t="shared" si="2"/>
        <v/>
      </c>
    </row>
    <row r="175" spans="1:18" ht="48" customHeight="1">
      <c r="A175" s="5"/>
      <c r="B175" s="6"/>
      <c r="C175" s="6"/>
      <c r="D175" s="6"/>
      <c r="E175" s="6"/>
      <c r="F175" s="5"/>
      <c r="G175" s="5"/>
      <c r="H175" s="5"/>
      <c r="I175" s="6"/>
      <c r="J175" s="6"/>
      <c r="K175" s="6"/>
      <c r="L175" s="5"/>
      <c r="M175" s="5"/>
      <c r="N175" s="50"/>
      <c r="O175" t="str">
        <f>IF($A175="","",IF('Risk Matrix'!$B$3="Worst Credible",$G175,$L175))</f>
        <v/>
      </c>
      <c r="P175" t="str">
        <f>IF($A175="","",IF('Risk Matrix'!$B$3="Worst Credible",$H175,$M175))</f>
        <v/>
      </c>
      <c r="Q175" t="str">
        <f>IF($A175="","",COUNTIFS($O$7:O175,O175,$P$7:P175,P175))</f>
        <v/>
      </c>
      <c r="R175" t="str">
        <f t="shared" si="2"/>
        <v/>
      </c>
    </row>
    <row r="176" spans="1:18" ht="48" customHeight="1">
      <c r="A176" s="5"/>
      <c r="B176" s="6"/>
      <c r="C176" s="6"/>
      <c r="D176" s="6"/>
      <c r="E176" s="6"/>
      <c r="F176" s="5"/>
      <c r="G176" s="5"/>
      <c r="H176" s="5"/>
      <c r="I176" s="6"/>
      <c r="J176" s="6"/>
      <c r="K176" s="6"/>
      <c r="L176" s="5"/>
      <c r="M176" s="5"/>
      <c r="N176" s="50"/>
      <c r="O176" t="str">
        <f>IF($A176="","",IF('Risk Matrix'!$B$3="Worst Credible",$G176,$L176))</f>
        <v/>
      </c>
      <c r="P176" t="str">
        <f>IF($A176="","",IF('Risk Matrix'!$B$3="Worst Credible",$H176,$M176))</f>
        <v/>
      </c>
      <c r="Q176" t="str">
        <f>IF($A176="","",COUNTIFS($O$7:O176,O176,$P$7:P176,P176))</f>
        <v/>
      </c>
      <c r="R176" t="str">
        <f t="shared" si="2"/>
        <v/>
      </c>
    </row>
    <row r="177" spans="1:18" ht="48" customHeight="1">
      <c r="A177" s="5"/>
      <c r="B177" s="6"/>
      <c r="C177" s="6"/>
      <c r="D177" s="6"/>
      <c r="E177" s="6"/>
      <c r="F177" s="5"/>
      <c r="G177" s="5"/>
      <c r="H177" s="5"/>
      <c r="I177" s="6"/>
      <c r="J177" s="6"/>
      <c r="K177" s="6"/>
      <c r="L177" s="5"/>
      <c r="M177" s="5"/>
      <c r="N177" s="50"/>
      <c r="O177" t="str">
        <f>IF($A177="","",IF('Risk Matrix'!$B$3="Worst Credible",$G177,$L177))</f>
        <v/>
      </c>
      <c r="P177" t="str">
        <f>IF($A177="","",IF('Risk Matrix'!$B$3="Worst Credible",$H177,$M177))</f>
        <v/>
      </c>
      <c r="Q177" t="str">
        <f>IF($A177="","",COUNTIFS($O$7:O177,O177,$P$7:P177,P177))</f>
        <v/>
      </c>
      <c r="R177" t="str">
        <f t="shared" si="2"/>
        <v/>
      </c>
    </row>
    <row r="178" spans="1:18" ht="48" customHeight="1">
      <c r="A178" s="5"/>
      <c r="B178" s="6"/>
      <c r="C178" s="6"/>
      <c r="D178" s="6"/>
      <c r="E178" s="6"/>
      <c r="F178" s="5"/>
      <c r="G178" s="5"/>
      <c r="H178" s="5"/>
      <c r="I178" s="6"/>
      <c r="J178" s="6"/>
      <c r="K178" s="6"/>
      <c r="L178" s="5"/>
      <c r="M178" s="5"/>
      <c r="N178" s="50"/>
      <c r="O178" t="str">
        <f>IF($A178="","",IF('Risk Matrix'!$B$3="Worst Credible",$G178,$L178))</f>
        <v/>
      </c>
      <c r="P178" t="str">
        <f>IF($A178="","",IF('Risk Matrix'!$B$3="Worst Credible",$H178,$M178))</f>
        <v/>
      </c>
      <c r="Q178" t="str">
        <f>IF($A178="","",COUNTIFS($O$7:O178,O178,$P$7:P178,P178))</f>
        <v/>
      </c>
      <c r="R178" t="str">
        <f t="shared" si="2"/>
        <v/>
      </c>
    </row>
    <row r="179" spans="1:18" ht="48" customHeight="1">
      <c r="A179" s="5"/>
      <c r="B179" s="6"/>
      <c r="C179" s="6"/>
      <c r="D179" s="6"/>
      <c r="E179" s="6"/>
      <c r="F179" s="5"/>
      <c r="G179" s="5"/>
      <c r="H179" s="5"/>
      <c r="I179" s="6"/>
      <c r="J179" s="6"/>
      <c r="K179" s="6"/>
      <c r="L179" s="5"/>
      <c r="M179" s="5"/>
      <c r="N179" s="50"/>
      <c r="O179" t="str">
        <f>IF($A179="","",IF('Risk Matrix'!$B$3="Worst Credible",$G179,$L179))</f>
        <v/>
      </c>
      <c r="P179" t="str">
        <f>IF($A179="","",IF('Risk Matrix'!$B$3="Worst Credible",$H179,$M179))</f>
        <v/>
      </c>
      <c r="Q179" t="str">
        <f>IF($A179="","",COUNTIFS($O$7:O179,O179,$P$7:P179,P179))</f>
        <v/>
      </c>
      <c r="R179" t="str">
        <f t="shared" si="2"/>
        <v/>
      </c>
    </row>
    <row r="180" spans="1:18" ht="48" customHeight="1">
      <c r="A180" s="5"/>
      <c r="B180" s="6"/>
      <c r="C180" s="6"/>
      <c r="D180" s="6"/>
      <c r="E180" s="6"/>
      <c r="F180" s="5"/>
      <c r="G180" s="5"/>
      <c r="H180" s="5"/>
      <c r="I180" s="6"/>
      <c r="J180" s="6"/>
      <c r="K180" s="6"/>
      <c r="L180" s="5"/>
      <c r="M180" s="5"/>
      <c r="N180" s="50"/>
      <c r="O180" t="str">
        <f>IF($A180="","",IF('Risk Matrix'!$B$3="Worst Credible",$G180,$L180))</f>
        <v/>
      </c>
      <c r="P180" t="str">
        <f>IF($A180="","",IF('Risk Matrix'!$B$3="Worst Credible",$H180,$M180))</f>
        <v/>
      </c>
      <c r="Q180" t="str">
        <f>IF($A180="","",COUNTIFS($O$7:O180,O180,$P$7:P180,P180))</f>
        <v/>
      </c>
      <c r="R180" t="str">
        <f t="shared" si="2"/>
        <v/>
      </c>
    </row>
    <row r="181" spans="1:18" ht="48" customHeight="1">
      <c r="A181" s="5"/>
      <c r="B181" s="6"/>
      <c r="C181" s="6"/>
      <c r="D181" s="6"/>
      <c r="E181" s="6"/>
      <c r="F181" s="5"/>
      <c r="G181" s="5"/>
      <c r="H181" s="5"/>
      <c r="I181" s="6"/>
      <c r="J181" s="6"/>
      <c r="K181" s="6"/>
      <c r="L181" s="5"/>
      <c r="M181" s="5"/>
      <c r="N181" s="50"/>
      <c r="O181" t="str">
        <f>IF($A181="","",IF('Risk Matrix'!$B$3="Worst Credible",$G181,$L181))</f>
        <v/>
      </c>
      <c r="P181" t="str">
        <f>IF($A181="","",IF('Risk Matrix'!$B$3="Worst Credible",$H181,$M181))</f>
        <v/>
      </c>
      <c r="Q181" t="str">
        <f>IF($A181="","",COUNTIFS($O$7:O181,O181,$P$7:P181,P181))</f>
        <v/>
      </c>
      <c r="R181" t="str">
        <f t="shared" si="2"/>
        <v/>
      </c>
    </row>
    <row r="182" spans="1:18" ht="48" customHeight="1">
      <c r="A182" s="5"/>
      <c r="B182" s="6"/>
      <c r="C182" s="6"/>
      <c r="D182" s="6"/>
      <c r="E182" s="6"/>
      <c r="F182" s="5"/>
      <c r="G182" s="5"/>
      <c r="H182" s="5"/>
      <c r="I182" s="6"/>
      <c r="J182" s="6"/>
      <c r="K182" s="6"/>
      <c r="L182" s="5"/>
      <c r="M182" s="5"/>
      <c r="N182" s="50"/>
      <c r="O182" t="str">
        <f>IF($A182="","",IF('Risk Matrix'!$B$3="Worst Credible",$G182,$L182))</f>
        <v/>
      </c>
      <c r="P182" t="str">
        <f>IF($A182="","",IF('Risk Matrix'!$B$3="Worst Credible",$H182,$M182))</f>
        <v/>
      </c>
      <c r="Q182" t="str">
        <f>IF($A182="","",COUNTIFS($O$7:O182,O182,$P$7:P182,P182))</f>
        <v/>
      </c>
      <c r="R182" t="str">
        <f t="shared" si="2"/>
        <v/>
      </c>
    </row>
    <row r="183" spans="1:18" ht="48" customHeight="1">
      <c r="A183" s="5"/>
      <c r="B183" s="6"/>
      <c r="C183" s="6"/>
      <c r="D183" s="6"/>
      <c r="E183" s="6"/>
      <c r="F183" s="5"/>
      <c r="G183" s="5"/>
      <c r="H183" s="5"/>
      <c r="I183" s="6"/>
      <c r="J183" s="6"/>
      <c r="K183" s="6"/>
      <c r="L183" s="5"/>
      <c r="M183" s="5"/>
      <c r="N183" s="50"/>
      <c r="O183" t="str">
        <f>IF($A183="","",IF('Risk Matrix'!$B$3="Worst Credible",$G183,$L183))</f>
        <v/>
      </c>
      <c r="P183" t="str">
        <f>IF($A183="","",IF('Risk Matrix'!$B$3="Worst Credible",$H183,$M183))</f>
        <v/>
      </c>
      <c r="Q183" t="str">
        <f>IF($A183="","",COUNTIFS($O$7:O183,O183,$P$7:P183,P183))</f>
        <v/>
      </c>
      <c r="R183" t="str">
        <f t="shared" si="2"/>
        <v/>
      </c>
    </row>
    <row r="184" spans="1:18" ht="48" customHeight="1">
      <c r="A184" s="5"/>
      <c r="B184" s="6"/>
      <c r="C184" s="6"/>
      <c r="D184" s="6"/>
      <c r="E184" s="6"/>
      <c r="F184" s="5"/>
      <c r="G184" s="5"/>
      <c r="H184" s="5"/>
      <c r="I184" s="6"/>
      <c r="J184" s="6"/>
      <c r="K184" s="6"/>
      <c r="L184" s="5"/>
      <c r="M184" s="5"/>
      <c r="N184" s="50"/>
      <c r="O184" t="str">
        <f>IF($A184="","",IF('Risk Matrix'!$B$3="Worst Credible",$G184,$L184))</f>
        <v/>
      </c>
      <c r="P184" t="str">
        <f>IF($A184="","",IF('Risk Matrix'!$B$3="Worst Credible",$H184,$M184))</f>
        <v/>
      </c>
      <c r="Q184" t="str">
        <f>IF($A184="","",COUNTIFS($O$7:O184,O184,$P$7:P184,P184))</f>
        <v/>
      </c>
      <c r="R184" t="str">
        <f t="shared" si="2"/>
        <v/>
      </c>
    </row>
    <row r="185" spans="1:18" ht="48" customHeight="1">
      <c r="A185" s="5"/>
      <c r="B185" s="6"/>
      <c r="C185" s="6"/>
      <c r="D185" s="6"/>
      <c r="E185" s="6"/>
      <c r="F185" s="5"/>
      <c r="G185" s="5"/>
      <c r="H185" s="5"/>
      <c r="I185" s="6"/>
      <c r="J185" s="6"/>
      <c r="K185" s="6"/>
      <c r="L185" s="5"/>
      <c r="M185" s="5"/>
      <c r="N185" s="50"/>
      <c r="O185" t="str">
        <f>IF($A185="","",IF('Risk Matrix'!$B$3="Worst Credible",$G185,$L185))</f>
        <v/>
      </c>
      <c r="P185" t="str">
        <f>IF($A185="","",IF('Risk Matrix'!$B$3="Worst Credible",$H185,$M185))</f>
        <v/>
      </c>
      <c r="Q185" t="str">
        <f>IF($A185="","",COUNTIFS($O$7:O185,O185,$P$7:P185,P185))</f>
        <v/>
      </c>
      <c r="R185" t="str">
        <f t="shared" si="2"/>
        <v/>
      </c>
    </row>
    <row r="186" spans="1:18" ht="48" customHeight="1">
      <c r="A186" s="5"/>
      <c r="B186" s="6"/>
      <c r="C186" s="6"/>
      <c r="D186" s="6"/>
      <c r="E186" s="6"/>
      <c r="F186" s="5"/>
      <c r="G186" s="5"/>
      <c r="H186" s="5"/>
      <c r="I186" s="6"/>
      <c r="J186" s="6"/>
      <c r="K186" s="6"/>
      <c r="L186" s="5"/>
      <c r="M186" s="5"/>
      <c r="N186" s="50"/>
      <c r="O186" t="str">
        <f>IF($A186="","",IF('Risk Matrix'!$B$3="Worst Credible",$G186,$L186))</f>
        <v/>
      </c>
      <c r="P186" t="str">
        <f>IF($A186="","",IF('Risk Matrix'!$B$3="Worst Credible",$H186,$M186))</f>
        <v/>
      </c>
      <c r="Q186" t="str">
        <f>IF($A186="","",COUNTIFS($O$7:O186,O186,$P$7:P186,P186))</f>
        <v/>
      </c>
      <c r="R186" t="str">
        <f t="shared" si="2"/>
        <v/>
      </c>
    </row>
    <row r="187" spans="1:18" ht="48" customHeight="1">
      <c r="A187" s="5"/>
      <c r="B187" s="6"/>
      <c r="C187" s="6"/>
      <c r="D187" s="6"/>
      <c r="E187" s="6"/>
      <c r="F187" s="5"/>
      <c r="G187" s="5"/>
      <c r="H187" s="5"/>
      <c r="I187" s="6"/>
      <c r="J187" s="6"/>
      <c r="K187" s="6"/>
      <c r="L187" s="5"/>
      <c r="M187" s="5"/>
      <c r="N187" s="50"/>
      <c r="O187" t="str">
        <f>IF($A187="","",IF('Risk Matrix'!$B$3="Worst Credible",$G187,$L187))</f>
        <v/>
      </c>
      <c r="P187" t="str">
        <f>IF($A187="","",IF('Risk Matrix'!$B$3="Worst Credible",$H187,$M187))</f>
        <v/>
      </c>
      <c r="Q187" t="str">
        <f>IF($A187="","",COUNTIFS($O$7:O187,O187,$P$7:P187,P187))</f>
        <v/>
      </c>
      <c r="R187" t="str">
        <f t="shared" si="2"/>
        <v/>
      </c>
    </row>
    <row r="188" spans="1:18" ht="48" customHeight="1">
      <c r="A188" s="5"/>
      <c r="B188" s="6"/>
      <c r="C188" s="6"/>
      <c r="D188" s="6"/>
      <c r="E188" s="6"/>
      <c r="F188" s="5"/>
      <c r="G188" s="5"/>
      <c r="H188" s="5"/>
      <c r="I188" s="6"/>
      <c r="J188" s="6"/>
      <c r="K188" s="6"/>
      <c r="L188" s="5"/>
      <c r="M188" s="5"/>
      <c r="N188" s="50"/>
      <c r="O188" t="str">
        <f>IF($A188="","",IF('Risk Matrix'!$B$3="Worst Credible",$G188,$L188))</f>
        <v/>
      </c>
      <c r="P188" t="str">
        <f>IF($A188="","",IF('Risk Matrix'!$B$3="Worst Credible",$H188,$M188))</f>
        <v/>
      </c>
      <c r="Q188" t="str">
        <f>IF($A188="","",COUNTIFS($O$7:O188,O188,$P$7:P188,P188))</f>
        <v/>
      </c>
      <c r="R188" t="str">
        <f t="shared" si="2"/>
        <v/>
      </c>
    </row>
    <row r="189" spans="1:18" ht="48" customHeight="1">
      <c r="A189" s="5"/>
      <c r="B189" s="6"/>
      <c r="C189" s="6"/>
      <c r="D189" s="6"/>
      <c r="E189" s="6"/>
      <c r="F189" s="5"/>
      <c r="G189" s="5"/>
      <c r="H189" s="5"/>
      <c r="I189" s="6"/>
      <c r="J189" s="6"/>
      <c r="K189" s="6"/>
      <c r="L189" s="5"/>
      <c r="M189" s="5"/>
      <c r="N189" s="50"/>
      <c r="O189" t="str">
        <f>IF($A189="","",IF('Risk Matrix'!$B$3="Worst Credible",$G189,$L189))</f>
        <v/>
      </c>
      <c r="P189" t="str">
        <f>IF($A189="","",IF('Risk Matrix'!$B$3="Worst Credible",$H189,$M189))</f>
        <v/>
      </c>
      <c r="Q189" t="str">
        <f>IF($A189="","",COUNTIFS($O$7:O189,O189,$P$7:P189,P189))</f>
        <v/>
      </c>
      <c r="R189" t="str">
        <f t="shared" si="2"/>
        <v/>
      </c>
    </row>
    <row r="190" spans="1:18" ht="48" customHeight="1">
      <c r="A190" s="5"/>
      <c r="B190" s="6"/>
      <c r="C190" s="6"/>
      <c r="D190" s="6"/>
      <c r="E190" s="6"/>
      <c r="F190" s="5"/>
      <c r="G190" s="5"/>
      <c r="H190" s="5"/>
      <c r="I190" s="6"/>
      <c r="J190" s="6"/>
      <c r="K190" s="6"/>
      <c r="L190" s="5"/>
      <c r="M190" s="5"/>
      <c r="N190" s="50"/>
      <c r="O190" t="str">
        <f>IF($A190="","",IF('Risk Matrix'!$B$3="Worst Credible",$G190,$L190))</f>
        <v/>
      </c>
      <c r="P190" t="str">
        <f>IF($A190="","",IF('Risk Matrix'!$B$3="Worst Credible",$H190,$M190))</f>
        <v/>
      </c>
      <c r="Q190" t="str">
        <f>IF($A190="","",COUNTIFS($O$7:O190,O190,$P$7:P190,P190))</f>
        <v/>
      </c>
      <c r="R190" t="str">
        <f t="shared" si="2"/>
        <v/>
      </c>
    </row>
    <row r="191" spans="1:18" ht="48" customHeight="1">
      <c r="A191" s="5"/>
      <c r="B191" s="6"/>
      <c r="C191" s="6"/>
      <c r="D191" s="6"/>
      <c r="E191" s="6"/>
      <c r="F191" s="5"/>
      <c r="G191" s="5"/>
      <c r="H191" s="5"/>
      <c r="I191" s="6"/>
      <c r="J191" s="6"/>
      <c r="K191" s="6"/>
      <c r="L191" s="5"/>
      <c r="M191" s="5"/>
      <c r="N191" s="50"/>
      <c r="O191" t="str">
        <f>IF($A191="","",IF('Risk Matrix'!$B$3="Worst Credible",$G191,$L191))</f>
        <v/>
      </c>
      <c r="P191" t="str">
        <f>IF($A191="","",IF('Risk Matrix'!$B$3="Worst Credible",$H191,$M191))</f>
        <v/>
      </c>
      <c r="Q191" t="str">
        <f>IF($A191="","",COUNTIFS($O$7:O191,O191,$P$7:P191,P191))</f>
        <v/>
      </c>
      <c r="R191" t="str">
        <f t="shared" si="2"/>
        <v/>
      </c>
    </row>
    <row r="192" spans="1:18" ht="48" customHeight="1">
      <c r="A192" s="5"/>
      <c r="B192" s="6"/>
      <c r="C192" s="6"/>
      <c r="D192" s="6"/>
      <c r="E192" s="6"/>
      <c r="F192" s="5"/>
      <c r="G192" s="5"/>
      <c r="H192" s="5"/>
      <c r="I192" s="6"/>
      <c r="J192" s="6"/>
      <c r="K192" s="6"/>
      <c r="L192" s="5"/>
      <c r="M192" s="5"/>
      <c r="N192" s="50"/>
      <c r="O192" t="str">
        <f>IF($A192="","",IF('Risk Matrix'!$B$3="Worst Credible",$G192,$L192))</f>
        <v/>
      </c>
      <c r="P192" t="str">
        <f>IF($A192="","",IF('Risk Matrix'!$B$3="Worst Credible",$H192,$M192))</f>
        <v/>
      </c>
      <c r="Q192" t="str">
        <f>IF($A192="","",COUNTIFS($O$7:O192,O192,$P$7:P192,P192))</f>
        <v/>
      </c>
      <c r="R192" t="str">
        <f t="shared" si="2"/>
        <v/>
      </c>
    </row>
    <row r="193" spans="1:18" ht="48" customHeight="1">
      <c r="A193" s="5"/>
      <c r="B193" s="6"/>
      <c r="C193" s="6"/>
      <c r="D193" s="6"/>
      <c r="E193" s="6"/>
      <c r="F193" s="5"/>
      <c r="G193" s="5"/>
      <c r="H193" s="5"/>
      <c r="I193" s="6"/>
      <c r="J193" s="6"/>
      <c r="K193" s="6"/>
      <c r="L193" s="5"/>
      <c r="M193" s="5"/>
      <c r="N193" s="50"/>
      <c r="O193" t="str">
        <f>IF($A193="","",IF('Risk Matrix'!$B$3="Worst Credible",$G193,$L193))</f>
        <v/>
      </c>
      <c r="P193" t="str">
        <f>IF($A193="","",IF('Risk Matrix'!$B$3="Worst Credible",$H193,$M193))</f>
        <v/>
      </c>
      <c r="Q193" t="str">
        <f>IF($A193="","",COUNTIFS($O$7:O193,O193,$P$7:P193,P193))</f>
        <v/>
      </c>
      <c r="R193" t="str">
        <f t="shared" si="2"/>
        <v/>
      </c>
    </row>
    <row r="194" spans="1:18" ht="48" customHeight="1">
      <c r="A194" s="5"/>
      <c r="B194" s="6"/>
      <c r="C194" s="6"/>
      <c r="D194" s="6"/>
      <c r="E194" s="6"/>
      <c r="F194" s="5"/>
      <c r="G194" s="5"/>
      <c r="H194" s="5"/>
      <c r="I194" s="6"/>
      <c r="J194" s="6"/>
      <c r="K194" s="6"/>
      <c r="L194" s="5"/>
      <c r="M194" s="5"/>
      <c r="N194" s="50"/>
      <c r="O194" t="str">
        <f>IF($A194="","",IF('Risk Matrix'!$B$3="Worst Credible",$G194,$L194))</f>
        <v/>
      </c>
      <c r="P194" t="str">
        <f>IF($A194="","",IF('Risk Matrix'!$B$3="Worst Credible",$H194,$M194))</f>
        <v/>
      </c>
      <c r="Q194" t="str">
        <f>IF($A194="","",COUNTIFS($O$7:O194,O194,$P$7:P194,P194))</f>
        <v/>
      </c>
      <c r="R194" t="str">
        <f t="shared" si="2"/>
        <v/>
      </c>
    </row>
    <row r="195" spans="1:18" ht="48" customHeight="1">
      <c r="A195" s="5"/>
      <c r="B195" s="6"/>
      <c r="C195" s="6"/>
      <c r="D195" s="6"/>
      <c r="E195" s="6"/>
      <c r="F195" s="5"/>
      <c r="G195" s="5"/>
      <c r="H195" s="5"/>
      <c r="I195" s="6"/>
      <c r="J195" s="6"/>
      <c r="K195" s="6"/>
      <c r="L195" s="5"/>
      <c r="M195" s="5"/>
      <c r="N195" s="50"/>
      <c r="O195" t="str">
        <f>IF($A195="","",IF('Risk Matrix'!$B$3="Worst Credible",$G195,$L195))</f>
        <v/>
      </c>
      <c r="P195" t="str">
        <f>IF($A195="","",IF('Risk Matrix'!$B$3="Worst Credible",$H195,$M195))</f>
        <v/>
      </c>
      <c r="Q195" t="str">
        <f>IF($A195="","",COUNTIFS($O$7:O195,O195,$P$7:P195,P195))</f>
        <v/>
      </c>
      <c r="R195" t="str">
        <f t="shared" si="2"/>
        <v/>
      </c>
    </row>
    <row r="196" spans="1:18" ht="48" customHeight="1">
      <c r="A196" s="5"/>
      <c r="B196" s="6"/>
      <c r="C196" s="6"/>
      <c r="D196" s="6"/>
      <c r="E196" s="6"/>
      <c r="F196" s="5"/>
      <c r="G196" s="5"/>
      <c r="H196" s="5"/>
      <c r="I196" s="6"/>
      <c r="J196" s="6"/>
      <c r="K196" s="6"/>
      <c r="L196" s="5"/>
      <c r="M196" s="5"/>
      <c r="N196" s="50"/>
      <c r="O196" t="str">
        <f>IF($A196="","",IF('Risk Matrix'!$B$3="Worst Credible",$G196,$L196))</f>
        <v/>
      </c>
      <c r="P196" t="str">
        <f>IF($A196="","",IF('Risk Matrix'!$B$3="Worst Credible",$H196,$M196))</f>
        <v/>
      </c>
      <c r="Q196" t="str">
        <f>IF($A196="","",COUNTIFS($O$7:O196,O196,$P$7:P196,P196))</f>
        <v/>
      </c>
      <c r="R196" t="str">
        <f t="shared" si="2"/>
        <v/>
      </c>
    </row>
    <row r="197" spans="1:18" ht="48" customHeight="1">
      <c r="A197" s="5"/>
      <c r="B197" s="6"/>
      <c r="C197" s="6"/>
      <c r="D197" s="6"/>
      <c r="E197" s="6"/>
      <c r="F197" s="5"/>
      <c r="G197" s="5"/>
      <c r="H197" s="5"/>
      <c r="I197" s="6"/>
      <c r="J197" s="6"/>
      <c r="K197" s="6"/>
      <c r="L197" s="5"/>
      <c r="M197" s="5"/>
      <c r="N197" s="50"/>
      <c r="O197" t="str">
        <f>IF($A197="","",IF('Risk Matrix'!$B$3="Worst Credible",$G197,$L197))</f>
        <v/>
      </c>
      <c r="P197" t="str">
        <f>IF($A197="","",IF('Risk Matrix'!$B$3="Worst Credible",$H197,$M197))</f>
        <v/>
      </c>
      <c r="Q197" t="str">
        <f>IF($A197="","",COUNTIFS($O$7:O197,O197,$P$7:P197,P197))</f>
        <v/>
      </c>
      <c r="R197" t="str">
        <f t="shared" si="2"/>
        <v/>
      </c>
    </row>
    <row r="198" spans="1:18" ht="48" customHeight="1">
      <c r="A198" s="5"/>
      <c r="B198" s="6"/>
      <c r="C198" s="6"/>
      <c r="D198" s="6"/>
      <c r="E198" s="6"/>
      <c r="F198" s="5"/>
      <c r="G198" s="5"/>
      <c r="H198" s="5"/>
      <c r="I198" s="6"/>
      <c r="J198" s="6"/>
      <c r="K198" s="6"/>
      <c r="L198" s="5"/>
      <c r="M198" s="5"/>
      <c r="N198" s="50"/>
      <c r="O198" t="str">
        <f>IF($A198="","",IF('Risk Matrix'!$B$3="Worst Credible",$G198,$L198))</f>
        <v/>
      </c>
      <c r="P198" t="str">
        <f>IF($A198="","",IF('Risk Matrix'!$B$3="Worst Credible",$H198,$M198))</f>
        <v/>
      </c>
      <c r="Q198" t="str">
        <f>IF($A198="","",COUNTIFS($O$7:O198,O198,$P$7:P198,P198))</f>
        <v/>
      </c>
      <c r="R198" t="str">
        <f t="shared" ref="R198:R206" si="3">IF($A198="","",O198&amp;"|"&amp;P198&amp;"|"&amp;Q198)</f>
        <v/>
      </c>
    </row>
    <row r="199" spans="1:18" ht="48" customHeight="1">
      <c r="A199" s="5"/>
      <c r="B199" s="6"/>
      <c r="C199" s="6"/>
      <c r="D199" s="6"/>
      <c r="E199" s="6"/>
      <c r="F199" s="5"/>
      <c r="G199" s="5"/>
      <c r="H199" s="5"/>
      <c r="I199" s="6"/>
      <c r="J199" s="6"/>
      <c r="K199" s="6"/>
      <c r="L199" s="5"/>
      <c r="M199" s="5"/>
      <c r="N199" s="50"/>
      <c r="O199" t="str">
        <f>IF($A199="","",IF('Risk Matrix'!$B$3="Worst Credible",$G199,$L199))</f>
        <v/>
      </c>
      <c r="P199" t="str">
        <f>IF($A199="","",IF('Risk Matrix'!$B$3="Worst Credible",$H199,$M199))</f>
        <v/>
      </c>
      <c r="Q199" t="str">
        <f>IF($A199="","",COUNTIFS($O$7:O199,O199,$P$7:P199,P199))</f>
        <v/>
      </c>
      <c r="R199" t="str">
        <f t="shared" si="3"/>
        <v/>
      </c>
    </row>
    <row r="200" spans="1:18" ht="48" customHeight="1">
      <c r="A200" s="5"/>
      <c r="B200" s="6"/>
      <c r="C200" s="6"/>
      <c r="D200" s="6"/>
      <c r="E200" s="6"/>
      <c r="F200" s="5"/>
      <c r="G200" s="5"/>
      <c r="H200" s="5"/>
      <c r="I200" s="6"/>
      <c r="J200" s="6"/>
      <c r="K200" s="6"/>
      <c r="L200" s="5"/>
      <c r="M200" s="5"/>
      <c r="N200" s="50"/>
      <c r="O200" t="str">
        <f>IF($A200="","",IF('Risk Matrix'!$B$3="Worst Credible",$G200,$L200))</f>
        <v/>
      </c>
      <c r="P200" t="str">
        <f>IF($A200="","",IF('Risk Matrix'!$B$3="Worst Credible",$H200,$M200))</f>
        <v/>
      </c>
      <c r="Q200" t="str">
        <f>IF($A200="","",COUNTIFS($O$7:O200,O200,$P$7:P200,P200))</f>
        <v/>
      </c>
      <c r="R200" t="str">
        <f t="shared" si="3"/>
        <v/>
      </c>
    </row>
    <row r="201" spans="1:18" ht="48" customHeight="1">
      <c r="A201" s="5"/>
      <c r="B201" s="6"/>
      <c r="C201" s="6"/>
      <c r="D201" s="6"/>
      <c r="E201" s="6"/>
      <c r="F201" s="5"/>
      <c r="G201" s="5"/>
      <c r="H201" s="5"/>
      <c r="I201" s="6"/>
      <c r="J201" s="6"/>
      <c r="K201" s="6"/>
      <c r="L201" s="5"/>
      <c r="M201" s="5"/>
      <c r="N201" s="50"/>
      <c r="O201" t="str">
        <f>IF($A201="","",IF('Risk Matrix'!$B$3="Worst Credible",$G201,$L201))</f>
        <v/>
      </c>
      <c r="P201" t="str">
        <f>IF($A201="","",IF('Risk Matrix'!$B$3="Worst Credible",$H201,$M201))</f>
        <v/>
      </c>
      <c r="Q201" t="str">
        <f>IF($A201="","",COUNTIFS($O$7:O201,O201,$P$7:P201,P201))</f>
        <v/>
      </c>
      <c r="R201" t="str">
        <f t="shared" si="3"/>
        <v/>
      </c>
    </row>
    <row r="202" spans="1:18" ht="48" customHeight="1">
      <c r="A202" s="5"/>
      <c r="B202" s="6"/>
      <c r="C202" s="6"/>
      <c r="D202" s="6"/>
      <c r="E202" s="6"/>
      <c r="F202" s="5"/>
      <c r="G202" s="5"/>
      <c r="H202" s="5"/>
      <c r="I202" s="6"/>
      <c r="J202" s="6"/>
      <c r="K202" s="6"/>
      <c r="L202" s="5"/>
      <c r="M202" s="5"/>
      <c r="N202" s="50"/>
      <c r="O202" t="str">
        <f>IF($A202="","",IF('Risk Matrix'!$B$3="Worst Credible",$G202,$L202))</f>
        <v/>
      </c>
      <c r="P202" t="str">
        <f>IF($A202="","",IF('Risk Matrix'!$B$3="Worst Credible",$H202,$M202))</f>
        <v/>
      </c>
      <c r="Q202" t="str">
        <f>IF($A202="","",COUNTIFS($O$7:O202,O202,$P$7:P202,P202))</f>
        <v/>
      </c>
      <c r="R202" t="str">
        <f t="shared" si="3"/>
        <v/>
      </c>
    </row>
    <row r="203" spans="1:18" ht="48" customHeight="1">
      <c r="A203" s="5"/>
      <c r="B203" s="6"/>
      <c r="C203" s="6"/>
      <c r="D203" s="6"/>
      <c r="E203" s="6"/>
      <c r="F203" s="5"/>
      <c r="G203" s="5"/>
      <c r="H203" s="5"/>
      <c r="I203" s="6"/>
      <c r="J203" s="6"/>
      <c r="K203" s="6"/>
      <c r="L203" s="5"/>
      <c r="M203" s="5"/>
      <c r="N203" s="50"/>
      <c r="O203" t="str">
        <f>IF($A203="","",IF('Risk Matrix'!$B$3="Worst Credible",$G203,$L203))</f>
        <v/>
      </c>
      <c r="P203" t="str">
        <f>IF($A203="","",IF('Risk Matrix'!$B$3="Worst Credible",$H203,$M203))</f>
        <v/>
      </c>
      <c r="Q203" t="str">
        <f>IF($A203="","",COUNTIFS($O$7:O203,O203,$P$7:P203,P203))</f>
        <v/>
      </c>
      <c r="R203" t="str">
        <f t="shared" si="3"/>
        <v/>
      </c>
    </row>
    <row r="204" spans="1:18" ht="48" customHeight="1">
      <c r="A204" s="5"/>
      <c r="B204" s="6"/>
      <c r="C204" s="6"/>
      <c r="D204" s="6"/>
      <c r="E204" s="6"/>
      <c r="F204" s="5"/>
      <c r="G204" s="5"/>
      <c r="H204" s="5"/>
      <c r="I204" s="6"/>
      <c r="J204" s="6"/>
      <c r="K204" s="6"/>
      <c r="L204" s="5"/>
      <c r="M204" s="5"/>
      <c r="N204" s="50"/>
      <c r="O204" t="str">
        <f>IF($A204="","",IF('Risk Matrix'!$B$3="Worst Credible",$G204,$L204))</f>
        <v/>
      </c>
      <c r="P204" t="str">
        <f>IF($A204="","",IF('Risk Matrix'!$B$3="Worst Credible",$H204,$M204))</f>
        <v/>
      </c>
      <c r="Q204" t="str">
        <f>IF($A204="","",COUNTIFS($O$7:O204,O204,$P$7:P204,P204))</f>
        <v/>
      </c>
      <c r="R204" t="str">
        <f t="shared" si="3"/>
        <v/>
      </c>
    </row>
    <row r="205" spans="1:18" ht="48" customHeight="1">
      <c r="A205" s="5"/>
      <c r="B205" s="6"/>
      <c r="C205" s="6"/>
      <c r="D205" s="6"/>
      <c r="E205" s="6"/>
      <c r="F205" s="5"/>
      <c r="G205" s="5"/>
      <c r="H205" s="5"/>
      <c r="I205" s="6"/>
      <c r="J205" s="6"/>
      <c r="K205" s="6"/>
      <c r="L205" s="5"/>
      <c r="M205" s="5"/>
      <c r="N205" s="50"/>
      <c r="O205" t="str">
        <f>IF($A205="","",IF('Risk Matrix'!$B$3="Worst Credible",$G205,$L205))</f>
        <v/>
      </c>
      <c r="P205" t="str">
        <f>IF($A205="","",IF('Risk Matrix'!$B$3="Worst Credible",$H205,$M205))</f>
        <v/>
      </c>
      <c r="Q205" t="str">
        <f>IF($A205="","",COUNTIFS($O$7:O205,O205,$P$7:P205,P205))</f>
        <v/>
      </c>
      <c r="R205" t="str">
        <f t="shared" si="3"/>
        <v/>
      </c>
    </row>
    <row r="206" spans="1:18" ht="48" customHeight="1">
      <c r="A206" s="5"/>
      <c r="B206" s="6"/>
      <c r="C206" s="6"/>
      <c r="D206" s="6"/>
      <c r="E206" s="6"/>
      <c r="F206" s="5"/>
      <c r="G206" s="5"/>
      <c r="H206" s="5"/>
      <c r="I206" s="6"/>
      <c r="J206" s="6"/>
      <c r="K206" s="6"/>
      <c r="L206" s="5"/>
      <c r="M206" s="5"/>
      <c r="N206" s="50"/>
      <c r="O206" t="str">
        <f>IF($A206="","",IF('Risk Matrix'!$B$3="Worst Credible",$G206,$L206))</f>
        <v/>
      </c>
      <c r="P206" t="str">
        <f>IF($A206="","",IF('Risk Matrix'!$B$3="Worst Credible",$H206,$M206))</f>
        <v/>
      </c>
      <c r="Q206" t="str">
        <f>IF($A206="","",COUNTIFS($O$7:O206,O206,$P$7:P206,P206))</f>
        <v/>
      </c>
      <c r="R206" t="str">
        <f t="shared" si="3"/>
        <v/>
      </c>
    </row>
  </sheetData>
  <mergeCells count="17">
    <mergeCell ref="A1:M1"/>
    <mergeCell ref="A4:F4"/>
    <mergeCell ref="G4:H4"/>
    <mergeCell ref="I4:K4"/>
    <mergeCell ref="L4:M4"/>
    <mergeCell ref="F3:J3"/>
    <mergeCell ref="G5:H5"/>
    <mergeCell ref="L5:M5"/>
    <mergeCell ref="A5:A6"/>
    <mergeCell ref="B5:B6"/>
    <mergeCell ref="C5:C6"/>
    <mergeCell ref="D5:D6"/>
    <mergeCell ref="E5:E6"/>
    <mergeCell ref="F5:F6"/>
    <mergeCell ref="I5:I6"/>
    <mergeCell ref="K5:K6"/>
    <mergeCell ref="J5: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208"/>
  <sheetViews>
    <sheetView topLeftCell="A23" zoomScale="85" zoomScaleNormal="85" workbookViewId="0">
      <selection activeCell="A16" sqref="A16"/>
    </sheetView>
  </sheetViews>
  <sheetFormatPr defaultRowHeight="14.25"/>
  <cols>
    <col min="1" max="1" width="24" customWidth="1"/>
    <col min="2" max="2" width="16" customWidth="1"/>
    <col min="3" max="3" width="5" customWidth="1"/>
    <col min="4" max="43" width="4" customWidth="1"/>
    <col min="44" max="44" width="1.75" customWidth="1"/>
    <col min="45" max="45" width="5" customWidth="1"/>
    <col min="46" max="46" width="71.875" customWidth="1"/>
  </cols>
  <sheetData>
    <row r="1" spans="1:46" ht="23.25">
      <c r="A1" s="68" t="s">
        <v>179</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row>
    <row r="2" spans="1:46">
      <c r="A2" s="8" t="s">
        <v>25</v>
      </c>
      <c r="B2" t="s">
        <v>146</v>
      </c>
    </row>
    <row r="3" spans="1:46" ht="15">
      <c r="A3" s="8" t="s">
        <v>26</v>
      </c>
      <c r="B3" s="7" t="s">
        <v>16</v>
      </c>
    </row>
    <row r="5" spans="1:46" ht="18">
      <c r="D5" s="59" t="str">
        <f>"Geothermal Wells Risk Matrix - "&amp;$B$2&amp;" - "&amp;$B$3</f>
        <v>Geothermal Wells Risk Matrix - GEO4ALL - Net Assessment</v>
      </c>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row>
    <row r="6" spans="1:46" ht="18">
      <c r="D6" s="60" t="str">
        <f>IF($B$3="Worst Credible","Worst Credible Likelihood","Net Assessment Likelihood")</f>
        <v>Net Assessment Likelihood</v>
      </c>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row>
    <row r="7" spans="1:46" ht="15.75">
      <c r="D7" s="61">
        <v>1</v>
      </c>
      <c r="E7" s="61"/>
      <c r="F7" s="61"/>
      <c r="G7" s="61"/>
      <c r="H7" s="61"/>
      <c r="I7" s="61">
        <v>2</v>
      </c>
      <c r="J7" s="61"/>
      <c r="K7" s="61"/>
      <c r="L7" s="61"/>
      <c r="M7" s="61"/>
      <c r="N7" s="58">
        <v>3</v>
      </c>
      <c r="O7" s="58"/>
      <c r="P7" s="58"/>
      <c r="Q7" s="58"/>
      <c r="R7" s="58"/>
      <c r="S7" s="58">
        <v>4</v>
      </c>
      <c r="T7" s="58"/>
      <c r="U7" s="58"/>
      <c r="V7" s="58"/>
      <c r="W7" s="58"/>
      <c r="X7" s="58">
        <v>5</v>
      </c>
      <c r="Y7" s="58"/>
      <c r="Z7" s="58"/>
      <c r="AA7" s="58"/>
      <c r="AB7" s="58"/>
      <c r="AC7" s="58">
        <v>6</v>
      </c>
      <c r="AD7" s="58"/>
      <c r="AE7" s="58"/>
      <c r="AF7" s="58"/>
      <c r="AG7" s="58"/>
      <c r="AH7" s="58">
        <v>7</v>
      </c>
      <c r="AI7" s="58"/>
      <c r="AJ7" s="58"/>
      <c r="AK7" s="58"/>
      <c r="AL7" s="58"/>
      <c r="AM7" s="58">
        <v>8</v>
      </c>
      <c r="AN7" s="58"/>
      <c r="AO7" s="58"/>
      <c r="AP7" s="58"/>
      <c r="AQ7" s="58"/>
      <c r="AS7" s="9" t="s">
        <v>27</v>
      </c>
      <c r="AT7" s="9" t="s">
        <v>180</v>
      </c>
    </row>
    <row r="8" spans="1:46" ht="18" customHeight="1">
      <c r="B8" s="56" t="str">
        <f>IF($B$3="Worst Credible","Worst Credible Impact","Net Assessment Impact")</f>
        <v>Net Assessment Impact</v>
      </c>
      <c r="C8" s="57" t="s">
        <v>28</v>
      </c>
      <c r="D8" s="13" t="str">
        <f>IF(COUNTIF('Risk Register'!$R$7:$R$206,"1|A|1")=0,"",INDEX('Risk Register'!$A$7:$A$206,MATCH("1|A|1",'Risk Register'!$R$7:$R$206,0)))</f>
        <v/>
      </c>
      <c r="E8" s="14" t="str">
        <f>IF(COUNTIF('Risk Register'!$R$7:$R$206,"1|A|2")=0,"",INDEX('Risk Register'!$A$7:$A$206,MATCH("1|A|2",'Risk Register'!$R$7:$R$206,0)))</f>
        <v/>
      </c>
      <c r="F8" s="14" t="str">
        <f>IF(COUNTIF('Risk Register'!$R$7:$R$206,"1|A|3")=0,"",INDEX('Risk Register'!$A$7:$A$206,MATCH("1|A|3",'Risk Register'!$R$7:$R$206,0)))</f>
        <v/>
      </c>
      <c r="G8" s="14" t="str">
        <f>IF(COUNTIF('Risk Register'!$R$7:$R$206,"1|A|4")=0,"",INDEX('Risk Register'!$A$7:$A$206,MATCH("1|A|4",'Risk Register'!$R$7:$R$206,0)))</f>
        <v/>
      </c>
      <c r="H8" s="15" t="str">
        <f>IF(COUNTIF('Risk Register'!$R$7:$R$206,"1|A|5")=0,"",INDEX('Risk Register'!$A$7:$A$206,MATCH("1|A|5",'Risk Register'!$R$7:$R$206,0)))</f>
        <v/>
      </c>
      <c r="I8" s="11" t="str">
        <f>IF(COUNTIF('Risk Register'!$R$7:$R$206,"2|A|1")=0,"",INDEX('Risk Register'!$A$7:$A$206,MATCH("2|A|1",'Risk Register'!$R$7:$R$206,0)))</f>
        <v/>
      </c>
      <c r="J8" s="11" t="str">
        <f>IF(COUNTIF('Risk Register'!$R$7:$R$206,"2|A|2")=0,"",INDEX('Risk Register'!$A$7:$A$206,MATCH("2|A|2",'Risk Register'!$R$7:$R$206,0)))</f>
        <v/>
      </c>
      <c r="K8" s="11" t="str">
        <f>IF(COUNTIF('Risk Register'!$R$7:$R$206,"2|A|3")=0,"",INDEX('Risk Register'!$A$7:$A$206,MATCH("2|A|3",'Risk Register'!$R$7:$R$206,0)))</f>
        <v/>
      </c>
      <c r="L8" s="11" t="str">
        <f>IF(COUNTIF('Risk Register'!$R$7:$R$206,"2|A|4")=0,"",INDEX('Risk Register'!$A$7:$A$206,MATCH("2|A|4",'Risk Register'!$R$7:$R$206,0)))</f>
        <v/>
      </c>
      <c r="M8" s="11" t="str">
        <f>IF(COUNTIF('Risk Register'!$R$7:$R$206,"2|A|5")=0,"",INDEX('Risk Register'!$A$7:$A$206,MATCH("2|A|5",'Risk Register'!$R$7:$R$206,0)))</f>
        <v/>
      </c>
      <c r="N8" s="31" t="str">
        <f>IF(COUNTIF('Risk Register'!$R$7:$R$206,"3|A|1")=0,"",INDEX('Risk Register'!$A$7:$A$206,MATCH("3|A|1",'Risk Register'!$R$7:$R$206,0)))</f>
        <v/>
      </c>
      <c r="O8" s="32" t="str">
        <f>IF(COUNTIF('Risk Register'!$R$7:$R$206,"3|A|2")=0,"",INDEX('Risk Register'!$A$7:$A$206,MATCH("3|A|2",'Risk Register'!$R$7:$R$206,0)))</f>
        <v/>
      </c>
      <c r="P8" s="32" t="str">
        <f>IF(COUNTIF('Risk Register'!$R$7:$R$206,"3|A|3")=0,"",INDEX('Risk Register'!$A$7:$A$206,MATCH("3|A|3",'Risk Register'!$R$7:$R$206,0)))</f>
        <v/>
      </c>
      <c r="Q8" s="32" t="str">
        <f>IF(COUNTIF('Risk Register'!$R$7:$R$206,"3|A|4")=0,"",INDEX('Risk Register'!$A$7:$A$206,MATCH("3|A|4",'Risk Register'!$R$7:$R$206,0)))</f>
        <v/>
      </c>
      <c r="R8" s="33" t="str">
        <f>IF(COUNTIF('Risk Register'!$R$7:$R$206,"3|A|5")=0,"",INDEX('Risk Register'!$A$7:$A$206,MATCH("3|A|5",'Risk Register'!$R$7:$R$206,0)))</f>
        <v/>
      </c>
      <c r="S8" s="31" t="str">
        <f>IF(COUNTIF('Risk Register'!$R$7:$R$206,"4|A|1")=0,"",INDEX('Risk Register'!$A$7:$A$206,MATCH("4|A|1",'Risk Register'!$R$7:$R$206,0)))</f>
        <v/>
      </c>
      <c r="T8" s="32" t="str">
        <f>IF(COUNTIF('Risk Register'!$R$7:$R$206,"4|A|2")=0,"",INDEX('Risk Register'!$A$7:$A$206,MATCH("4|A|2",'Risk Register'!$R$7:$R$206,0)))</f>
        <v/>
      </c>
      <c r="U8" s="32" t="str">
        <f>IF(COUNTIF('Risk Register'!$R$7:$R$206,"4|A|3")=0,"",INDEX('Risk Register'!$A$7:$A$206,MATCH("4|A|3",'Risk Register'!$R$7:$R$206,0)))</f>
        <v/>
      </c>
      <c r="V8" s="32" t="str">
        <f>IF(COUNTIF('Risk Register'!$R$7:$R$206,"4|A|4")=0,"",INDEX('Risk Register'!$A$7:$A$206,MATCH("4|A|4",'Risk Register'!$R$7:$R$206,0)))</f>
        <v/>
      </c>
      <c r="W8" s="33" t="str">
        <f>IF(COUNTIF('Risk Register'!$R$7:$R$206,"4|A|5")=0,"",INDEX('Risk Register'!$A$7:$A$206,MATCH("4|A|5",'Risk Register'!$R$7:$R$206,0)))</f>
        <v/>
      </c>
      <c r="X8" s="31" t="str">
        <f>IF(COUNTIF('Risk Register'!$R$7:$R$206,"5|A|1")=0,"",INDEX('Risk Register'!$A$7:$A$206,MATCH("5|A|1",'Risk Register'!$R$7:$R$206,0)))</f>
        <v/>
      </c>
      <c r="Y8" s="32" t="str">
        <f>IF(COUNTIF('Risk Register'!$R$7:$R$206,"5|A|2")=0,"",INDEX('Risk Register'!$A$7:$A$206,MATCH("5|A|2",'Risk Register'!$R$7:$R$206,0)))</f>
        <v/>
      </c>
      <c r="Z8" s="32" t="str">
        <f>IF(COUNTIF('Risk Register'!$R$7:$R$206,"5|A|3")=0,"",INDEX('Risk Register'!$A$7:$A$206,MATCH("5|A|3",'Risk Register'!$R$7:$R$206,0)))</f>
        <v/>
      </c>
      <c r="AA8" s="32" t="str">
        <f>IF(COUNTIF('Risk Register'!$R$7:$R$206,"5|A|4")=0,"",INDEX('Risk Register'!$A$7:$A$206,MATCH("5|A|4",'Risk Register'!$R$7:$R$206,0)))</f>
        <v/>
      </c>
      <c r="AB8" s="33" t="str">
        <f>IF(COUNTIF('Risk Register'!$R$7:$R$206,"5|A|5")=0,"",INDEX('Risk Register'!$A$7:$A$206,MATCH("5|A|5",'Risk Register'!$R$7:$R$206,0)))</f>
        <v/>
      </c>
      <c r="AC8" s="31" t="str">
        <f>IF(COUNTIF('Risk Register'!$R$7:$R$206,"6|A|1")=0,"",INDEX('Risk Register'!$A$7:$A$206,MATCH("6|A|1",'Risk Register'!$R$7:$R$206,0)))</f>
        <v/>
      </c>
      <c r="AD8" s="32" t="str">
        <f>IF(COUNTIF('Risk Register'!$R$7:$R$206,"6|A|2")=0,"",INDEX('Risk Register'!$A$7:$A$206,MATCH("6|A|2",'Risk Register'!$R$7:$R$206,0)))</f>
        <v/>
      </c>
      <c r="AE8" s="32" t="str">
        <f>IF(COUNTIF('Risk Register'!$R$7:$R$206,"6|A|3")=0,"",INDEX('Risk Register'!$A$7:$A$206,MATCH("6|A|3",'Risk Register'!$R$7:$R$206,0)))</f>
        <v/>
      </c>
      <c r="AF8" s="32" t="str">
        <f>IF(COUNTIF('Risk Register'!$R$7:$R$206,"6|A|4")=0,"",INDEX('Risk Register'!$A$7:$A$206,MATCH("6|A|4",'Risk Register'!$R$7:$R$206,0)))</f>
        <v/>
      </c>
      <c r="AG8" s="33" t="str">
        <f>IF(COUNTIF('Risk Register'!$R$7:$R$206,"6|A|5")=0,"",INDEX('Risk Register'!$A$7:$A$206,MATCH("6|A|5",'Risk Register'!$R$7:$R$206,0)))</f>
        <v/>
      </c>
      <c r="AH8" s="31" t="str">
        <f>IF(COUNTIF('Risk Register'!$R$7:$R$206,"7|A|1")=0,"",INDEX('Risk Register'!$A$7:$A$206,MATCH("7|A|1",'Risk Register'!$R$7:$R$206,0)))</f>
        <v/>
      </c>
      <c r="AI8" s="32" t="str">
        <f>IF(COUNTIF('Risk Register'!$R$7:$R$206,"7|A|2")=0,"",INDEX('Risk Register'!$A$7:$A$206,MATCH("7|A|2",'Risk Register'!$R$7:$R$206,0)))</f>
        <v/>
      </c>
      <c r="AJ8" s="32" t="str">
        <f>IF(COUNTIF('Risk Register'!$R$7:$R$206,"7|A|3")=0,"",INDEX('Risk Register'!$A$7:$A$206,MATCH("7|A|3",'Risk Register'!$R$7:$R$206,0)))</f>
        <v/>
      </c>
      <c r="AK8" s="32" t="str">
        <f>IF(COUNTIF('Risk Register'!$R$7:$R$206,"7|A|4")=0,"",INDEX('Risk Register'!$A$7:$A$206,MATCH("7|A|4",'Risk Register'!$R$7:$R$206,0)))</f>
        <v/>
      </c>
      <c r="AL8" s="33" t="str">
        <f>IF(COUNTIF('Risk Register'!$R$7:$R$206,"7|A|5")=0,"",INDEX('Risk Register'!$A$7:$A$206,MATCH("7|A|5",'Risk Register'!$R$7:$R$206,0)))</f>
        <v/>
      </c>
      <c r="AM8" s="31" t="str">
        <f>IF(COUNTIF('Risk Register'!$R$7:$R$206,"8|A|1")=0,"",INDEX('Risk Register'!$A$7:$A$206,MATCH("8|A|1",'Risk Register'!$R$7:$R$206,0)))</f>
        <v/>
      </c>
      <c r="AN8" s="32" t="str">
        <f>IF(COUNTIF('Risk Register'!$R$7:$R$206,"8|A|2")=0,"",INDEX('Risk Register'!$A$7:$A$206,MATCH("8|A|2",'Risk Register'!$R$7:$R$206,0)))</f>
        <v/>
      </c>
      <c r="AO8" s="32" t="str">
        <f>IF(COUNTIF('Risk Register'!$R$7:$R$206,"8|A|3")=0,"",INDEX('Risk Register'!$A$7:$A$206,MATCH("8|A|3",'Risk Register'!$R$7:$R$206,0)))</f>
        <v/>
      </c>
      <c r="AP8" s="32" t="str">
        <f>IF(COUNTIF('Risk Register'!$R$7:$R$206,"8|A|4")=0,"",INDEX('Risk Register'!$A$7:$A$206,MATCH("8|A|4",'Risk Register'!$R$7:$R$206,0)))</f>
        <v/>
      </c>
      <c r="AQ8" s="33" t="str">
        <f>IF(COUNTIF('Risk Register'!$R$7:$R$206,"8|A|5")=0,"",INDEX('Risk Register'!$A$7:$A$206,MATCH("8|A|5",'Risk Register'!$R$7:$R$206,0)))</f>
        <v/>
      </c>
      <c r="AS8" s="10">
        <f>IFERROR(INDEX('Risk Register'!$A$7:$A$206,1),"")</f>
        <v>1</v>
      </c>
      <c r="AT8" s="10" t="str">
        <f>IFERROR(INDEX('Risk Register'!$B$7:$B$206,1),"")</f>
        <v>Losses while drilling</v>
      </c>
    </row>
    <row r="9" spans="1:46" ht="18" customHeight="1">
      <c r="B9" s="56"/>
      <c r="C9" s="57"/>
      <c r="D9" s="16" t="str">
        <f>IF(COUNTIF('Risk Register'!$R$7:$R$206,"1|A|6")=0,"",INDEX('Risk Register'!$A$7:$A$206,MATCH("1|A|6",'Risk Register'!$R$7:$R$206,0)))</f>
        <v/>
      </c>
      <c r="E9" s="12" t="str">
        <f>IF(COUNTIF('Risk Register'!$R$7:$R$206,"1|A|7")=0,"",INDEX('Risk Register'!$A$7:$A$206,MATCH("1|A|7",'Risk Register'!$R$7:$R$206,0)))</f>
        <v/>
      </c>
      <c r="F9" s="12" t="str">
        <f>IF(COUNTIF('Risk Register'!$R$7:$R$206,"1|A|8")=0,"",INDEX('Risk Register'!$A$7:$A$206,MATCH("1|A|8",'Risk Register'!$R$7:$R$206,0)))</f>
        <v/>
      </c>
      <c r="G9" s="12" t="str">
        <f>IF(COUNTIF('Risk Register'!$R$7:$R$206,"1|A|9")=0,"",INDEX('Risk Register'!$A$7:$A$206,MATCH("1|A|9",'Risk Register'!$R$7:$R$206,0)))</f>
        <v/>
      </c>
      <c r="H9" s="17" t="str">
        <f>IF(COUNTIF('Risk Register'!$R$7:$R$206,"1|A|10")=0,"",INDEX('Risk Register'!$A$7:$A$206,MATCH("1|A|10",'Risk Register'!$R$7:$R$206,0)))</f>
        <v/>
      </c>
      <c r="I9" s="11" t="str">
        <f>IF(COUNTIF('Risk Register'!$R$7:$R$206,"2|A|6")=0,"",INDEX('Risk Register'!$A$7:$A$206,MATCH("2|A|6",'Risk Register'!$R$7:$R$206,0)))</f>
        <v/>
      </c>
      <c r="J9" s="11" t="str">
        <f>IF(COUNTIF('Risk Register'!$R$7:$R$206,"2|A|7")=0,"",INDEX('Risk Register'!$A$7:$A$206,MATCH("2|A|7",'Risk Register'!$R$7:$R$206,0)))</f>
        <v/>
      </c>
      <c r="K9" s="11" t="str">
        <f>IF(COUNTIF('Risk Register'!$R$7:$R$206,"2|A|8")=0,"",INDEX('Risk Register'!$A$7:$A$206,MATCH("2|A|8",'Risk Register'!$R$7:$R$206,0)))</f>
        <v/>
      </c>
      <c r="L9" s="11" t="str">
        <f>IF(COUNTIF('Risk Register'!$R$7:$R$206,"2|A|9")=0,"",INDEX('Risk Register'!$A$7:$A$206,MATCH("2|A|9",'Risk Register'!$R$7:$R$206,0)))</f>
        <v/>
      </c>
      <c r="M9" s="11" t="str">
        <f>IF(COUNTIF('Risk Register'!$R$7:$R$206,"2|A|10")=0,"",INDEX('Risk Register'!$A$7:$A$206,MATCH("2|A|10",'Risk Register'!$R$7:$R$206,0)))</f>
        <v/>
      </c>
      <c r="N9" s="34" t="str">
        <f>IF(COUNTIF('Risk Register'!$R$7:$R$206,"3|A|6")=0,"",INDEX('Risk Register'!$A$7:$A$206,MATCH("3|A|6",'Risk Register'!$R$7:$R$206,0)))</f>
        <v/>
      </c>
      <c r="O9" s="11" t="str">
        <f>IF(COUNTIF('Risk Register'!$R$7:$R$206,"3|A|7")=0,"",INDEX('Risk Register'!$A$7:$A$206,MATCH("3|A|7",'Risk Register'!$R$7:$R$206,0)))</f>
        <v/>
      </c>
      <c r="P9" s="11" t="str">
        <f>IF(COUNTIF('Risk Register'!$R$7:$R$206,"3|A|8")=0,"",INDEX('Risk Register'!$A$7:$A$206,MATCH("3|A|8",'Risk Register'!$R$7:$R$206,0)))</f>
        <v/>
      </c>
      <c r="Q9" s="11" t="str">
        <f>IF(COUNTIF('Risk Register'!$R$7:$R$206,"3|A|9")=0,"",INDEX('Risk Register'!$A$7:$A$206,MATCH("3|A|9",'Risk Register'!$R$7:$R$206,0)))</f>
        <v/>
      </c>
      <c r="R9" s="35" t="str">
        <f>IF(COUNTIF('Risk Register'!$R$7:$R$206,"3|A|10")=0,"",INDEX('Risk Register'!$A$7:$A$206,MATCH("3|A|10",'Risk Register'!$R$7:$R$206,0)))</f>
        <v/>
      </c>
      <c r="S9" s="34" t="str">
        <f>IF(COUNTIF('Risk Register'!$R$7:$R$206,"4|A|6")=0,"",INDEX('Risk Register'!$A$7:$A$206,MATCH("4|A|6",'Risk Register'!$R$7:$R$206,0)))</f>
        <v/>
      </c>
      <c r="T9" s="11" t="str">
        <f>IF(COUNTIF('Risk Register'!$R$7:$R$206,"4|A|7")=0,"",INDEX('Risk Register'!$A$7:$A$206,MATCH("4|A|7",'Risk Register'!$R$7:$R$206,0)))</f>
        <v/>
      </c>
      <c r="U9" s="11" t="str">
        <f>IF(COUNTIF('Risk Register'!$R$7:$R$206,"4|A|8")=0,"",INDEX('Risk Register'!$A$7:$A$206,MATCH("4|A|8",'Risk Register'!$R$7:$R$206,0)))</f>
        <v/>
      </c>
      <c r="V9" s="11" t="str">
        <f>IF(COUNTIF('Risk Register'!$R$7:$R$206,"4|A|9")=0,"",INDEX('Risk Register'!$A$7:$A$206,MATCH("4|A|9",'Risk Register'!$R$7:$R$206,0)))</f>
        <v/>
      </c>
      <c r="W9" s="35" t="str">
        <f>IF(COUNTIF('Risk Register'!$R$7:$R$206,"4|A|10")=0,"",INDEX('Risk Register'!$A$7:$A$206,MATCH("4|A|10",'Risk Register'!$R$7:$R$206,0)))</f>
        <v/>
      </c>
      <c r="X9" s="34" t="str">
        <f>IF(COUNTIF('Risk Register'!$R$7:$R$206,"5|A|6")=0,"",INDEX('Risk Register'!$A$7:$A$206,MATCH("5|A|6",'Risk Register'!$R$7:$R$206,0)))</f>
        <v/>
      </c>
      <c r="Y9" s="11" t="str">
        <f>IF(COUNTIF('Risk Register'!$R$7:$R$206,"5|A|7")=0,"",INDEX('Risk Register'!$A$7:$A$206,MATCH("5|A|7",'Risk Register'!$R$7:$R$206,0)))</f>
        <v/>
      </c>
      <c r="Z9" s="11" t="str">
        <f>IF(COUNTIF('Risk Register'!$R$7:$R$206,"5|A|8")=0,"",INDEX('Risk Register'!$A$7:$A$206,MATCH("5|A|8",'Risk Register'!$R$7:$R$206,0)))</f>
        <v/>
      </c>
      <c r="AA9" s="11" t="str">
        <f>IF(COUNTIF('Risk Register'!$R$7:$R$206,"5|A|9")=0,"",INDEX('Risk Register'!$A$7:$A$206,MATCH("5|A|9",'Risk Register'!$R$7:$R$206,0)))</f>
        <v/>
      </c>
      <c r="AB9" s="35" t="str">
        <f>IF(COUNTIF('Risk Register'!$R$7:$R$206,"5|A|10")=0,"",INDEX('Risk Register'!$A$7:$A$206,MATCH("5|A|10",'Risk Register'!$R$7:$R$206,0)))</f>
        <v/>
      </c>
      <c r="AC9" s="34" t="str">
        <f>IF(COUNTIF('Risk Register'!$R$7:$R$206,"6|A|6")=0,"",INDEX('Risk Register'!$A$7:$A$206,MATCH("6|A|6",'Risk Register'!$R$7:$R$206,0)))</f>
        <v/>
      </c>
      <c r="AD9" s="11" t="str">
        <f>IF(COUNTIF('Risk Register'!$R$7:$R$206,"6|A|7")=0,"",INDEX('Risk Register'!$A$7:$A$206,MATCH("6|A|7",'Risk Register'!$R$7:$R$206,0)))</f>
        <v/>
      </c>
      <c r="AE9" s="11" t="str">
        <f>IF(COUNTIF('Risk Register'!$R$7:$R$206,"6|A|8")=0,"",INDEX('Risk Register'!$A$7:$A$206,MATCH("6|A|8",'Risk Register'!$R$7:$R$206,0)))</f>
        <v/>
      </c>
      <c r="AF9" s="11" t="str">
        <f>IF(COUNTIF('Risk Register'!$R$7:$R$206,"6|A|9")=0,"",INDEX('Risk Register'!$A$7:$A$206,MATCH("6|A|9",'Risk Register'!$R$7:$R$206,0)))</f>
        <v/>
      </c>
      <c r="AG9" s="35" t="str">
        <f>IF(COUNTIF('Risk Register'!$R$7:$R$206,"6|A|10")=0,"",INDEX('Risk Register'!$A$7:$A$206,MATCH("6|A|10",'Risk Register'!$R$7:$R$206,0)))</f>
        <v/>
      </c>
      <c r="AH9" s="34" t="str">
        <f>IF(COUNTIF('Risk Register'!$R$7:$R$206,"7|A|6")=0,"",INDEX('Risk Register'!$A$7:$A$206,MATCH("7|A|6",'Risk Register'!$R$7:$R$206,0)))</f>
        <v/>
      </c>
      <c r="AI9" s="11" t="str">
        <f>IF(COUNTIF('Risk Register'!$R$7:$R$206,"7|A|7")=0,"",INDEX('Risk Register'!$A$7:$A$206,MATCH("7|A|7",'Risk Register'!$R$7:$R$206,0)))</f>
        <v/>
      </c>
      <c r="AJ9" s="11" t="str">
        <f>IF(COUNTIF('Risk Register'!$R$7:$R$206,"7|A|8")=0,"",INDEX('Risk Register'!$A$7:$A$206,MATCH("7|A|8",'Risk Register'!$R$7:$R$206,0)))</f>
        <v/>
      </c>
      <c r="AK9" s="11" t="str">
        <f>IF(COUNTIF('Risk Register'!$R$7:$R$206,"7|A|9")=0,"",INDEX('Risk Register'!$A$7:$A$206,MATCH("7|A|9",'Risk Register'!$R$7:$R$206,0)))</f>
        <v/>
      </c>
      <c r="AL9" s="35" t="str">
        <f>IF(COUNTIF('Risk Register'!$R$7:$R$206,"7|A|10")=0,"",INDEX('Risk Register'!$A$7:$A$206,MATCH("7|A|10",'Risk Register'!$R$7:$R$206,0)))</f>
        <v/>
      </c>
      <c r="AM9" s="34" t="str">
        <f>IF(COUNTIF('Risk Register'!$R$7:$R$206,"8|A|6")=0,"",INDEX('Risk Register'!$A$7:$A$206,MATCH("8|A|6",'Risk Register'!$R$7:$R$206,0)))</f>
        <v/>
      </c>
      <c r="AN9" s="11" t="str">
        <f>IF(COUNTIF('Risk Register'!$R$7:$R$206,"8|A|7")=0,"",INDEX('Risk Register'!$A$7:$A$206,MATCH("8|A|7",'Risk Register'!$R$7:$R$206,0)))</f>
        <v/>
      </c>
      <c r="AO9" s="11" t="str">
        <f>IF(COUNTIF('Risk Register'!$R$7:$R$206,"8|A|8")=0,"",INDEX('Risk Register'!$A$7:$A$206,MATCH("8|A|8",'Risk Register'!$R$7:$R$206,0)))</f>
        <v/>
      </c>
      <c r="AP9" s="11" t="str">
        <f>IF(COUNTIF('Risk Register'!$R$7:$R$206,"8|A|9")=0,"",INDEX('Risk Register'!$A$7:$A$206,MATCH("8|A|9",'Risk Register'!$R$7:$R$206,0)))</f>
        <v/>
      </c>
      <c r="AQ9" s="35" t="str">
        <f>IF(COUNTIF('Risk Register'!$R$7:$R$206,"8|A|10")=0,"",INDEX('Risk Register'!$A$7:$A$206,MATCH("8|A|10",'Risk Register'!$R$7:$R$206,0)))</f>
        <v/>
      </c>
      <c r="AS9" s="10">
        <f>IFERROR(INDEX('Risk Register'!$A$7:$A$206,2),"")</f>
        <v>2</v>
      </c>
      <c r="AT9" s="10" t="str">
        <f>IFERROR(INDEX('Risk Register'!$B$7:$B$206,2),"")</f>
        <v>Issues while sliding with motor (oriented drilling)</v>
      </c>
    </row>
    <row r="10" spans="1:46" ht="18" customHeight="1">
      <c r="B10" s="56"/>
      <c r="C10" s="57"/>
      <c r="D10" s="16" t="str">
        <f>IF(COUNTIF('Risk Register'!$R$7:$R$206,"1|A|11")=0,"",INDEX('Risk Register'!$A$7:$A$206,MATCH("1|A|11",'Risk Register'!$R$7:$R$206,0)))</f>
        <v/>
      </c>
      <c r="E10" s="12" t="str">
        <f>IF(COUNTIF('Risk Register'!$R$7:$R$206,"1|A|12")=0,"",INDEX('Risk Register'!$A$7:$A$206,MATCH("1|A|12",'Risk Register'!$R$7:$R$206,0)))</f>
        <v/>
      </c>
      <c r="F10" s="12" t="str">
        <f>IF(COUNTIF('Risk Register'!$R$7:$R$206,"1|A|13")=0,"",INDEX('Risk Register'!$A$7:$A$206,MATCH("1|A|13",'Risk Register'!$R$7:$R$206,0)))</f>
        <v/>
      </c>
      <c r="G10" s="12" t="str">
        <f>IF(COUNTIF('Risk Register'!$R$7:$R$206,"1|A|14")=0,"",INDEX('Risk Register'!$A$7:$A$206,MATCH("1|A|14",'Risk Register'!$R$7:$R$206,0)))</f>
        <v/>
      </c>
      <c r="H10" s="17" t="str">
        <f>IF(COUNTIF('Risk Register'!$R$7:$R$206,"1|A|15")=0,"",INDEX('Risk Register'!$A$7:$A$206,MATCH("1|A|15",'Risk Register'!$R$7:$R$206,0)))</f>
        <v/>
      </c>
      <c r="I10" s="11" t="str">
        <f>IF(COUNTIF('Risk Register'!$R$7:$R$206,"2|A|11")=0,"",INDEX('Risk Register'!$A$7:$A$206,MATCH("2|A|11",'Risk Register'!$R$7:$R$206,0)))</f>
        <v/>
      </c>
      <c r="J10" s="11" t="str">
        <f>IF(COUNTIF('Risk Register'!$R$7:$R$206,"2|A|12")=0,"",INDEX('Risk Register'!$A$7:$A$206,MATCH("2|A|12",'Risk Register'!$R$7:$R$206,0)))</f>
        <v/>
      </c>
      <c r="K10" s="11" t="str">
        <f>IF(COUNTIF('Risk Register'!$R$7:$R$206,"2|A|13")=0,"",INDEX('Risk Register'!$A$7:$A$206,MATCH("2|A|13",'Risk Register'!$R$7:$R$206,0)))</f>
        <v/>
      </c>
      <c r="L10" s="11" t="str">
        <f>IF(COUNTIF('Risk Register'!$R$7:$R$206,"2|A|14")=0,"",INDEX('Risk Register'!$A$7:$A$206,MATCH("2|A|14",'Risk Register'!$R$7:$R$206,0)))</f>
        <v/>
      </c>
      <c r="M10" s="11" t="str">
        <f>IF(COUNTIF('Risk Register'!$R$7:$R$206,"2|A|15")=0,"",INDEX('Risk Register'!$A$7:$A$206,MATCH("2|A|15",'Risk Register'!$R$7:$R$206,0)))</f>
        <v/>
      </c>
      <c r="N10" s="34" t="str">
        <f>IF(COUNTIF('Risk Register'!$R$7:$R$206,"3|A|11")=0,"",INDEX('Risk Register'!$A$7:$A$206,MATCH("3|A|11",'Risk Register'!$R$7:$R$206,0)))</f>
        <v/>
      </c>
      <c r="O10" s="11" t="str">
        <f>IF(COUNTIF('Risk Register'!$R$7:$R$206,"3|A|12")=0,"",INDEX('Risk Register'!$A$7:$A$206,MATCH("3|A|12",'Risk Register'!$R$7:$R$206,0)))</f>
        <v/>
      </c>
      <c r="P10" s="11" t="str">
        <f>IF(COUNTIF('Risk Register'!$R$7:$R$206,"3|A|13")=0,"",INDEX('Risk Register'!$A$7:$A$206,MATCH("3|A|13",'Risk Register'!$R$7:$R$206,0)))</f>
        <v/>
      </c>
      <c r="Q10" s="11" t="str">
        <f>IF(COUNTIF('Risk Register'!$R$7:$R$206,"3|A|14")=0,"",INDEX('Risk Register'!$A$7:$A$206,MATCH("3|A|14",'Risk Register'!$R$7:$R$206,0)))</f>
        <v/>
      </c>
      <c r="R10" s="35" t="str">
        <f>IF(COUNTIF('Risk Register'!$R$7:$R$206,"3|A|15")=0,"",INDEX('Risk Register'!$A$7:$A$206,MATCH("3|A|15",'Risk Register'!$R$7:$R$206,0)))</f>
        <v/>
      </c>
      <c r="S10" s="34" t="str">
        <f>IF(COUNTIF('Risk Register'!$R$7:$R$206,"4|A|11")=0,"",INDEX('Risk Register'!$A$7:$A$206,MATCH("4|A|11",'Risk Register'!$R$7:$R$206,0)))</f>
        <v/>
      </c>
      <c r="T10" s="11" t="str">
        <f>IF(COUNTIF('Risk Register'!$R$7:$R$206,"4|A|12")=0,"",INDEX('Risk Register'!$A$7:$A$206,MATCH("4|A|12",'Risk Register'!$R$7:$R$206,0)))</f>
        <v/>
      </c>
      <c r="U10" s="11" t="str">
        <f>IF(COUNTIF('Risk Register'!$R$7:$R$206,"4|A|13")=0,"",INDEX('Risk Register'!$A$7:$A$206,MATCH("4|A|13",'Risk Register'!$R$7:$R$206,0)))</f>
        <v/>
      </c>
      <c r="V10" s="11" t="str">
        <f>IF(COUNTIF('Risk Register'!$R$7:$R$206,"4|A|14")=0,"",INDEX('Risk Register'!$A$7:$A$206,MATCH("4|A|14",'Risk Register'!$R$7:$R$206,0)))</f>
        <v/>
      </c>
      <c r="W10" s="35" t="str">
        <f>IF(COUNTIF('Risk Register'!$R$7:$R$206,"4|A|15")=0,"",INDEX('Risk Register'!$A$7:$A$206,MATCH("4|A|15",'Risk Register'!$R$7:$R$206,0)))</f>
        <v/>
      </c>
      <c r="X10" s="34" t="str">
        <f>IF(COUNTIF('Risk Register'!$R$7:$R$206,"5|A|11")=0,"",INDEX('Risk Register'!$A$7:$A$206,MATCH("5|A|11",'Risk Register'!$R$7:$R$206,0)))</f>
        <v/>
      </c>
      <c r="Y10" s="11" t="str">
        <f>IF(COUNTIF('Risk Register'!$R$7:$R$206,"5|A|12")=0,"",INDEX('Risk Register'!$A$7:$A$206,MATCH("5|A|12",'Risk Register'!$R$7:$R$206,0)))</f>
        <v/>
      </c>
      <c r="Z10" s="11" t="str">
        <f>IF(COUNTIF('Risk Register'!$R$7:$R$206,"5|A|13")=0,"",INDEX('Risk Register'!$A$7:$A$206,MATCH("5|A|13",'Risk Register'!$R$7:$R$206,0)))</f>
        <v/>
      </c>
      <c r="AA10" s="11" t="str">
        <f>IF(COUNTIF('Risk Register'!$R$7:$R$206,"5|A|14")=0,"",INDEX('Risk Register'!$A$7:$A$206,MATCH("5|A|14",'Risk Register'!$R$7:$R$206,0)))</f>
        <v/>
      </c>
      <c r="AB10" s="35" t="str">
        <f>IF(COUNTIF('Risk Register'!$R$7:$R$206,"5|A|15")=0,"",INDEX('Risk Register'!$A$7:$A$206,MATCH("5|A|15",'Risk Register'!$R$7:$R$206,0)))</f>
        <v/>
      </c>
      <c r="AC10" s="34" t="str">
        <f>IF(COUNTIF('Risk Register'!$R$7:$R$206,"6|A|11")=0,"",INDEX('Risk Register'!$A$7:$A$206,MATCH("6|A|11",'Risk Register'!$R$7:$R$206,0)))</f>
        <v/>
      </c>
      <c r="AD10" s="11" t="str">
        <f>IF(COUNTIF('Risk Register'!$R$7:$R$206,"6|A|12")=0,"",INDEX('Risk Register'!$A$7:$A$206,MATCH("6|A|12",'Risk Register'!$R$7:$R$206,0)))</f>
        <v/>
      </c>
      <c r="AE10" s="11" t="str">
        <f>IF(COUNTIF('Risk Register'!$R$7:$R$206,"6|A|13")=0,"",INDEX('Risk Register'!$A$7:$A$206,MATCH("6|A|13",'Risk Register'!$R$7:$R$206,0)))</f>
        <v/>
      </c>
      <c r="AF10" s="11" t="str">
        <f>IF(COUNTIF('Risk Register'!$R$7:$R$206,"6|A|14")=0,"",INDEX('Risk Register'!$A$7:$A$206,MATCH("6|A|14",'Risk Register'!$R$7:$R$206,0)))</f>
        <v/>
      </c>
      <c r="AG10" s="35" t="str">
        <f>IF(COUNTIF('Risk Register'!$R$7:$R$206,"6|A|15")=0,"",INDEX('Risk Register'!$A$7:$A$206,MATCH("6|A|15",'Risk Register'!$R$7:$R$206,0)))</f>
        <v/>
      </c>
      <c r="AH10" s="34" t="str">
        <f>IF(COUNTIF('Risk Register'!$R$7:$R$206,"7|A|11")=0,"",INDEX('Risk Register'!$A$7:$A$206,MATCH("7|A|11",'Risk Register'!$R$7:$R$206,0)))</f>
        <v/>
      </c>
      <c r="AI10" s="11" t="str">
        <f>IF(COUNTIF('Risk Register'!$R$7:$R$206,"7|A|12")=0,"",INDEX('Risk Register'!$A$7:$A$206,MATCH("7|A|12",'Risk Register'!$R$7:$R$206,0)))</f>
        <v/>
      </c>
      <c r="AJ10" s="11" t="str">
        <f>IF(COUNTIF('Risk Register'!$R$7:$R$206,"7|A|13")=0,"",INDEX('Risk Register'!$A$7:$A$206,MATCH("7|A|13",'Risk Register'!$R$7:$R$206,0)))</f>
        <v/>
      </c>
      <c r="AK10" s="11" t="str">
        <f>IF(COUNTIF('Risk Register'!$R$7:$R$206,"7|A|14")=0,"",INDEX('Risk Register'!$A$7:$A$206,MATCH("7|A|14",'Risk Register'!$R$7:$R$206,0)))</f>
        <v/>
      </c>
      <c r="AL10" s="35" t="str">
        <f>IF(COUNTIF('Risk Register'!$R$7:$R$206,"7|A|15")=0,"",INDEX('Risk Register'!$A$7:$A$206,MATCH("7|A|15",'Risk Register'!$R$7:$R$206,0)))</f>
        <v/>
      </c>
      <c r="AM10" s="34" t="str">
        <f>IF(COUNTIF('Risk Register'!$R$7:$R$206,"8|A|11")=0,"",INDEX('Risk Register'!$A$7:$A$206,MATCH("8|A|11",'Risk Register'!$R$7:$R$206,0)))</f>
        <v/>
      </c>
      <c r="AN10" s="11" t="str">
        <f>IF(COUNTIF('Risk Register'!$R$7:$R$206,"8|A|12")=0,"",INDEX('Risk Register'!$A$7:$A$206,MATCH("8|A|12",'Risk Register'!$R$7:$R$206,0)))</f>
        <v/>
      </c>
      <c r="AO10" s="11" t="str">
        <f>IF(COUNTIF('Risk Register'!$R$7:$R$206,"8|A|13")=0,"",INDEX('Risk Register'!$A$7:$A$206,MATCH("8|A|13",'Risk Register'!$R$7:$R$206,0)))</f>
        <v/>
      </c>
      <c r="AP10" s="11" t="str">
        <f>IF(COUNTIF('Risk Register'!$R$7:$R$206,"8|A|14")=0,"",INDEX('Risk Register'!$A$7:$A$206,MATCH("8|A|14",'Risk Register'!$R$7:$R$206,0)))</f>
        <v/>
      </c>
      <c r="AQ10" s="35" t="str">
        <f>IF(COUNTIF('Risk Register'!$R$7:$R$206,"8|A|15")=0,"",INDEX('Risk Register'!$A$7:$A$206,MATCH("8|A|15",'Risk Register'!$R$7:$R$206,0)))</f>
        <v/>
      </c>
      <c r="AS10" s="10">
        <f>IFERROR(INDEX('Risk Register'!$A$7:$A$206,3),"")</f>
        <v>3</v>
      </c>
      <c r="AT10" s="10" t="str">
        <f>IFERROR(INDEX('Risk Register'!$B$7:$B$206,3),"")</f>
        <v>High wellbore tortuosity, high local doglegs</v>
      </c>
    </row>
    <row r="11" spans="1:46" ht="18" customHeight="1">
      <c r="B11" s="56"/>
      <c r="C11" s="57"/>
      <c r="D11" s="16" t="str">
        <f>IF(COUNTIF('Risk Register'!$R$7:$R$206,"1|A|16")=0,"",INDEX('Risk Register'!$A$7:$A$206,MATCH("1|A|16",'Risk Register'!$R$7:$R$206,0)))</f>
        <v/>
      </c>
      <c r="E11" s="12" t="str">
        <f>IF(COUNTIF('Risk Register'!$R$7:$R$206,"1|A|17")=0,"",INDEX('Risk Register'!$A$7:$A$206,MATCH("1|A|17",'Risk Register'!$R$7:$R$206,0)))</f>
        <v/>
      </c>
      <c r="F11" s="12" t="str">
        <f>IF(COUNTIF('Risk Register'!$R$7:$R$206,"1|A|18")=0,"",INDEX('Risk Register'!$A$7:$A$206,MATCH("1|A|18",'Risk Register'!$R$7:$R$206,0)))</f>
        <v/>
      </c>
      <c r="G11" s="12" t="str">
        <f>IF(COUNTIF('Risk Register'!$R$7:$R$206,"1|A|19")=0,"",INDEX('Risk Register'!$A$7:$A$206,MATCH("1|A|19",'Risk Register'!$R$7:$R$206,0)))</f>
        <v/>
      </c>
      <c r="H11" s="17" t="str">
        <f>IF(COUNTIF('Risk Register'!$R$7:$R$206,"1|A|20")=0,"",INDEX('Risk Register'!$A$7:$A$206,MATCH("1|A|20",'Risk Register'!$R$7:$R$206,0)))</f>
        <v/>
      </c>
      <c r="I11" s="11" t="str">
        <f>IF(COUNTIF('Risk Register'!$R$7:$R$206,"2|A|16")=0,"",INDEX('Risk Register'!$A$7:$A$206,MATCH("2|A|16",'Risk Register'!$R$7:$R$206,0)))</f>
        <v/>
      </c>
      <c r="J11" s="11" t="str">
        <f>IF(COUNTIF('Risk Register'!$R$7:$R$206,"2|A|17")=0,"",INDEX('Risk Register'!$A$7:$A$206,MATCH("2|A|17",'Risk Register'!$R$7:$R$206,0)))</f>
        <v/>
      </c>
      <c r="K11" s="11" t="str">
        <f>IF(COUNTIF('Risk Register'!$R$7:$R$206,"2|A|18")=0,"",INDEX('Risk Register'!$A$7:$A$206,MATCH("2|A|18",'Risk Register'!$R$7:$R$206,0)))</f>
        <v/>
      </c>
      <c r="L11" s="11" t="str">
        <f>IF(COUNTIF('Risk Register'!$R$7:$R$206,"2|A|19")=0,"",INDEX('Risk Register'!$A$7:$A$206,MATCH("2|A|19",'Risk Register'!$R$7:$R$206,0)))</f>
        <v/>
      </c>
      <c r="M11" s="11" t="str">
        <f>IF(COUNTIF('Risk Register'!$R$7:$R$206,"2|A|20")=0,"",INDEX('Risk Register'!$A$7:$A$206,MATCH("2|A|20",'Risk Register'!$R$7:$R$206,0)))</f>
        <v/>
      </c>
      <c r="N11" s="34" t="str">
        <f>IF(COUNTIF('Risk Register'!$R$7:$R$206,"3|A|16")=0,"",INDEX('Risk Register'!$A$7:$A$206,MATCH("3|A|16",'Risk Register'!$R$7:$R$206,0)))</f>
        <v/>
      </c>
      <c r="O11" s="11" t="str">
        <f>IF(COUNTIF('Risk Register'!$R$7:$R$206,"3|A|17")=0,"",INDEX('Risk Register'!$A$7:$A$206,MATCH("3|A|17",'Risk Register'!$R$7:$R$206,0)))</f>
        <v/>
      </c>
      <c r="P11" s="11" t="str">
        <f>IF(COUNTIF('Risk Register'!$R$7:$R$206,"3|A|18")=0,"",INDEX('Risk Register'!$A$7:$A$206,MATCH("3|A|18",'Risk Register'!$R$7:$R$206,0)))</f>
        <v/>
      </c>
      <c r="Q11" s="11" t="str">
        <f>IF(COUNTIF('Risk Register'!$R$7:$R$206,"3|A|19")=0,"",INDEX('Risk Register'!$A$7:$A$206,MATCH("3|A|19",'Risk Register'!$R$7:$R$206,0)))</f>
        <v/>
      </c>
      <c r="R11" s="35" t="str">
        <f>IF(COUNTIF('Risk Register'!$R$7:$R$206,"3|A|20")=0,"",INDEX('Risk Register'!$A$7:$A$206,MATCH("3|A|20",'Risk Register'!$R$7:$R$206,0)))</f>
        <v/>
      </c>
      <c r="S11" s="34" t="str">
        <f>IF(COUNTIF('Risk Register'!$R$7:$R$206,"4|A|16")=0,"",INDEX('Risk Register'!$A$7:$A$206,MATCH("4|A|16",'Risk Register'!$R$7:$R$206,0)))</f>
        <v/>
      </c>
      <c r="T11" s="11" t="str">
        <f>IF(COUNTIF('Risk Register'!$R$7:$R$206,"4|A|17")=0,"",INDEX('Risk Register'!$A$7:$A$206,MATCH("4|A|17",'Risk Register'!$R$7:$R$206,0)))</f>
        <v/>
      </c>
      <c r="U11" s="11" t="str">
        <f>IF(COUNTIF('Risk Register'!$R$7:$R$206,"4|A|18")=0,"",INDEX('Risk Register'!$A$7:$A$206,MATCH("4|A|18",'Risk Register'!$R$7:$R$206,0)))</f>
        <v/>
      </c>
      <c r="V11" s="11" t="str">
        <f>IF(COUNTIF('Risk Register'!$R$7:$R$206,"4|A|19")=0,"",INDEX('Risk Register'!$A$7:$A$206,MATCH("4|A|19",'Risk Register'!$R$7:$R$206,0)))</f>
        <v/>
      </c>
      <c r="W11" s="35" t="str">
        <f>IF(COUNTIF('Risk Register'!$R$7:$R$206,"4|A|20")=0,"",INDEX('Risk Register'!$A$7:$A$206,MATCH("4|A|20",'Risk Register'!$R$7:$R$206,0)))</f>
        <v/>
      </c>
      <c r="X11" s="34" t="str">
        <f>IF(COUNTIF('Risk Register'!$R$7:$R$206,"5|A|16")=0,"",INDEX('Risk Register'!$A$7:$A$206,MATCH("5|A|16",'Risk Register'!$R$7:$R$206,0)))</f>
        <v/>
      </c>
      <c r="Y11" s="11" t="str">
        <f>IF(COUNTIF('Risk Register'!$R$7:$R$206,"5|A|17")=0,"",INDEX('Risk Register'!$A$7:$A$206,MATCH("5|A|17",'Risk Register'!$R$7:$R$206,0)))</f>
        <v/>
      </c>
      <c r="Z11" s="11" t="str">
        <f>IF(COUNTIF('Risk Register'!$R$7:$R$206,"5|A|18")=0,"",INDEX('Risk Register'!$A$7:$A$206,MATCH("5|A|18",'Risk Register'!$R$7:$R$206,0)))</f>
        <v/>
      </c>
      <c r="AA11" s="11" t="str">
        <f>IF(COUNTIF('Risk Register'!$R$7:$R$206,"5|A|19")=0,"",INDEX('Risk Register'!$A$7:$A$206,MATCH("5|A|19",'Risk Register'!$R$7:$R$206,0)))</f>
        <v/>
      </c>
      <c r="AB11" s="35" t="str">
        <f>IF(COUNTIF('Risk Register'!$R$7:$R$206,"5|A|20")=0,"",INDEX('Risk Register'!$A$7:$A$206,MATCH("5|A|20",'Risk Register'!$R$7:$R$206,0)))</f>
        <v/>
      </c>
      <c r="AC11" s="34" t="str">
        <f>IF(COUNTIF('Risk Register'!$R$7:$R$206,"6|A|16")=0,"",INDEX('Risk Register'!$A$7:$A$206,MATCH("6|A|16",'Risk Register'!$R$7:$R$206,0)))</f>
        <v/>
      </c>
      <c r="AD11" s="11" t="str">
        <f>IF(COUNTIF('Risk Register'!$R$7:$R$206,"6|A|17")=0,"",INDEX('Risk Register'!$A$7:$A$206,MATCH("6|A|17",'Risk Register'!$R$7:$R$206,0)))</f>
        <v/>
      </c>
      <c r="AE11" s="11" t="str">
        <f>IF(COUNTIF('Risk Register'!$R$7:$R$206,"6|A|18")=0,"",INDEX('Risk Register'!$A$7:$A$206,MATCH("6|A|18",'Risk Register'!$R$7:$R$206,0)))</f>
        <v/>
      </c>
      <c r="AF11" s="11" t="str">
        <f>IF(COUNTIF('Risk Register'!$R$7:$R$206,"6|A|19")=0,"",INDEX('Risk Register'!$A$7:$A$206,MATCH("6|A|19",'Risk Register'!$R$7:$R$206,0)))</f>
        <v/>
      </c>
      <c r="AG11" s="35" t="str">
        <f>IF(COUNTIF('Risk Register'!$R$7:$R$206,"6|A|20")=0,"",INDEX('Risk Register'!$A$7:$A$206,MATCH("6|A|20",'Risk Register'!$R$7:$R$206,0)))</f>
        <v/>
      </c>
      <c r="AH11" s="34" t="str">
        <f>IF(COUNTIF('Risk Register'!$R$7:$R$206,"7|A|16")=0,"",INDEX('Risk Register'!$A$7:$A$206,MATCH("7|A|16",'Risk Register'!$R$7:$R$206,0)))</f>
        <v/>
      </c>
      <c r="AI11" s="11" t="str">
        <f>IF(COUNTIF('Risk Register'!$R$7:$R$206,"7|A|17")=0,"",INDEX('Risk Register'!$A$7:$A$206,MATCH("7|A|17",'Risk Register'!$R$7:$R$206,0)))</f>
        <v/>
      </c>
      <c r="AJ11" s="11" t="str">
        <f>IF(COUNTIF('Risk Register'!$R$7:$R$206,"7|A|18")=0,"",INDEX('Risk Register'!$A$7:$A$206,MATCH("7|A|18",'Risk Register'!$R$7:$R$206,0)))</f>
        <v/>
      </c>
      <c r="AK11" s="11" t="str">
        <f>IF(COUNTIF('Risk Register'!$R$7:$R$206,"7|A|19")=0,"",INDEX('Risk Register'!$A$7:$A$206,MATCH("7|A|19",'Risk Register'!$R$7:$R$206,0)))</f>
        <v/>
      </c>
      <c r="AL11" s="35" t="str">
        <f>IF(COUNTIF('Risk Register'!$R$7:$R$206,"7|A|20")=0,"",INDEX('Risk Register'!$A$7:$A$206,MATCH("7|A|20",'Risk Register'!$R$7:$R$206,0)))</f>
        <v/>
      </c>
      <c r="AM11" s="34" t="str">
        <f>IF(COUNTIF('Risk Register'!$R$7:$R$206,"8|A|16")=0,"",INDEX('Risk Register'!$A$7:$A$206,MATCH("8|A|16",'Risk Register'!$R$7:$R$206,0)))</f>
        <v/>
      </c>
      <c r="AN11" s="11" t="str">
        <f>IF(COUNTIF('Risk Register'!$R$7:$R$206,"8|A|17")=0,"",INDEX('Risk Register'!$A$7:$A$206,MATCH("8|A|17",'Risk Register'!$R$7:$R$206,0)))</f>
        <v/>
      </c>
      <c r="AO11" s="11" t="str">
        <f>IF(COUNTIF('Risk Register'!$R$7:$R$206,"8|A|18")=0,"",INDEX('Risk Register'!$A$7:$A$206,MATCH("8|A|18",'Risk Register'!$R$7:$R$206,0)))</f>
        <v/>
      </c>
      <c r="AP11" s="11" t="str">
        <f>IF(COUNTIF('Risk Register'!$R$7:$R$206,"8|A|19")=0,"",INDEX('Risk Register'!$A$7:$A$206,MATCH("8|A|19",'Risk Register'!$R$7:$R$206,0)))</f>
        <v/>
      </c>
      <c r="AQ11" s="35" t="str">
        <f>IF(COUNTIF('Risk Register'!$R$7:$R$206,"8|A|20")=0,"",INDEX('Risk Register'!$A$7:$A$206,MATCH("8|A|20",'Risk Register'!$R$7:$R$206,0)))</f>
        <v/>
      </c>
      <c r="AS11" s="10">
        <f>IFERROR(INDEX('Risk Register'!$A$7:$A$206,4),"")</f>
        <v>4</v>
      </c>
      <c r="AT11" s="10" t="str">
        <f>IFERROR(INDEX('Risk Register'!$B$7:$B$206,4),"")</f>
        <v>Poor Directional control , inability to follow directional plan for BHA or formation related issues</v>
      </c>
    </row>
    <row r="12" spans="1:46" ht="18" customHeight="1">
      <c r="B12" s="56"/>
      <c r="C12" s="57"/>
      <c r="D12" s="18" t="str">
        <f>IF(COUNTIF('Risk Register'!$R$7:$R$206,"1|A|21")=0,"",INDEX('Risk Register'!$A$7:$A$206,MATCH("1|A|21",'Risk Register'!$R$7:$R$206,0)))</f>
        <v/>
      </c>
      <c r="E12" s="19" t="str">
        <f>IF(COUNTIF('Risk Register'!$R$7:$R$206,"1|A|22")=0,"",INDEX('Risk Register'!$A$7:$A$206,MATCH("1|A|22",'Risk Register'!$R$7:$R$206,0)))</f>
        <v/>
      </c>
      <c r="F12" s="19" t="str">
        <f>IF(COUNTIF('Risk Register'!$R$7:$R$206,"1|A|23")=0,"",INDEX('Risk Register'!$A$7:$A$206,MATCH("1|A|23",'Risk Register'!$R$7:$R$206,0)))</f>
        <v/>
      </c>
      <c r="G12" s="19" t="str">
        <f>IF(COUNTIF('Risk Register'!$R$7:$R$206,"1|A|24")=0,"",INDEX('Risk Register'!$A$7:$A$206,MATCH("1|A|24",'Risk Register'!$R$7:$R$206,0)))</f>
        <v/>
      </c>
      <c r="H12" s="20" t="str">
        <f>IF(COUNTIF('Risk Register'!$R$7:$R$206,"1|A|25")=0,"",INDEX('Risk Register'!$A$7:$A$206,MATCH("1|A|25",'Risk Register'!$R$7:$R$206,0)))</f>
        <v/>
      </c>
      <c r="I12" s="11" t="str">
        <f>IF(COUNTIF('Risk Register'!$R$7:$R$206,"2|A|21")=0,"",INDEX('Risk Register'!$A$7:$A$206,MATCH("2|A|21",'Risk Register'!$R$7:$R$206,0)))</f>
        <v/>
      </c>
      <c r="J12" s="11" t="str">
        <f>IF(COUNTIF('Risk Register'!$R$7:$R$206,"2|A|22")=0,"",INDEX('Risk Register'!$A$7:$A$206,MATCH("2|A|22",'Risk Register'!$R$7:$R$206,0)))</f>
        <v/>
      </c>
      <c r="K12" s="11" t="str">
        <f>IF(COUNTIF('Risk Register'!$R$7:$R$206,"2|A|23")=0,"",INDEX('Risk Register'!$A$7:$A$206,MATCH("2|A|23",'Risk Register'!$R$7:$R$206,0)))</f>
        <v/>
      </c>
      <c r="L12" s="11" t="str">
        <f>IF(COUNTIF('Risk Register'!$R$7:$R$206,"2|A|24")=0,"",INDEX('Risk Register'!$A$7:$A$206,MATCH("2|A|24",'Risk Register'!$R$7:$R$206,0)))</f>
        <v/>
      </c>
      <c r="M12" s="11" t="str">
        <f>IF(COUNTIF('Risk Register'!$R$7:$R$206,"2|A|25")=0,"",INDEX('Risk Register'!$A$7:$A$206,MATCH("2|A|25",'Risk Register'!$R$7:$R$206,0)))</f>
        <v/>
      </c>
      <c r="N12" s="36" t="str">
        <f>IF(COUNTIF('Risk Register'!$R$7:$R$206,"3|A|21")=0,"",INDEX('Risk Register'!$A$7:$A$206,MATCH("3|A|21",'Risk Register'!$R$7:$R$206,0)))</f>
        <v/>
      </c>
      <c r="O12" s="37" t="str">
        <f>IF(COUNTIF('Risk Register'!$R$7:$R$206,"3|A|22")=0,"",INDEX('Risk Register'!$A$7:$A$206,MATCH("3|A|22",'Risk Register'!$R$7:$R$206,0)))</f>
        <v/>
      </c>
      <c r="P12" s="37" t="str">
        <f>IF(COUNTIF('Risk Register'!$R$7:$R$206,"3|A|23")=0,"",INDEX('Risk Register'!$A$7:$A$206,MATCH("3|A|23",'Risk Register'!$R$7:$R$206,0)))</f>
        <v/>
      </c>
      <c r="Q12" s="37" t="str">
        <f>IF(COUNTIF('Risk Register'!$R$7:$R$206,"3|A|24")=0,"",INDEX('Risk Register'!$A$7:$A$206,MATCH("3|A|24",'Risk Register'!$R$7:$R$206,0)))</f>
        <v/>
      </c>
      <c r="R12" s="38" t="str">
        <f>IF(COUNTIF('Risk Register'!$R$7:$R$206,"3|A|25")=0,"",INDEX('Risk Register'!$A$7:$A$206,MATCH("3|A|25",'Risk Register'!$R$7:$R$206,0)))</f>
        <v/>
      </c>
      <c r="S12" s="36" t="str">
        <f>IF(COUNTIF('Risk Register'!$R$7:$R$206,"4|A|21")=0,"",INDEX('Risk Register'!$A$7:$A$206,MATCH("4|A|21",'Risk Register'!$R$7:$R$206,0)))</f>
        <v/>
      </c>
      <c r="T12" s="37" t="str">
        <f>IF(COUNTIF('Risk Register'!$R$7:$R$206,"4|A|22")=0,"",INDEX('Risk Register'!$A$7:$A$206,MATCH("4|A|22",'Risk Register'!$R$7:$R$206,0)))</f>
        <v/>
      </c>
      <c r="U12" s="37" t="str">
        <f>IF(COUNTIF('Risk Register'!$R$7:$R$206,"4|A|23")=0,"",INDEX('Risk Register'!$A$7:$A$206,MATCH("4|A|23",'Risk Register'!$R$7:$R$206,0)))</f>
        <v/>
      </c>
      <c r="V12" s="37" t="str">
        <f>IF(COUNTIF('Risk Register'!$R$7:$R$206,"4|A|24")=0,"",INDEX('Risk Register'!$A$7:$A$206,MATCH("4|A|24",'Risk Register'!$R$7:$R$206,0)))</f>
        <v/>
      </c>
      <c r="W12" s="38" t="str">
        <f>IF(COUNTIF('Risk Register'!$R$7:$R$206,"4|A|25")=0,"",INDEX('Risk Register'!$A$7:$A$206,MATCH("4|A|25",'Risk Register'!$R$7:$R$206,0)))</f>
        <v/>
      </c>
      <c r="X12" s="36" t="str">
        <f>IF(COUNTIF('Risk Register'!$R$7:$R$206,"5|A|21")=0,"",INDEX('Risk Register'!$A$7:$A$206,MATCH("5|A|21",'Risk Register'!$R$7:$R$206,0)))</f>
        <v/>
      </c>
      <c r="Y12" s="37" t="str">
        <f>IF(COUNTIF('Risk Register'!$R$7:$R$206,"5|A|22")=0,"",INDEX('Risk Register'!$A$7:$A$206,MATCH("5|A|22",'Risk Register'!$R$7:$R$206,0)))</f>
        <v/>
      </c>
      <c r="Z12" s="37" t="str">
        <f>IF(COUNTIF('Risk Register'!$R$7:$R$206,"5|A|23")=0,"",INDEX('Risk Register'!$A$7:$A$206,MATCH("5|A|23",'Risk Register'!$R$7:$R$206,0)))</f>
        <v/>
      </c>
      <c r="AA12" s="37" t="str">
        <f>IF(COUNTIF('Risk Register'!$R$7:$R$206,"5|A|24")=0,"",INDEX('Risk Register'!$A$7:$A$206,MATCH("5|A|24",'Risk Register'!$R$7:$R$206,0)))</f>
        <v/>
      </c>
      <c r="AB12" s="38" t="str">
        <f>IF(COUNTIF('Risk Register'!$R$7:$R$206,"5|A|25")=0,"",INDEX('Risk Register'!$A$7:$A$206,MATCH("5|A|25",'Risk Register'!$R$7:$R$206,0)))</f>
        <v/>
      </c>
      <c r="AC12" s="36" t="str">
        <f>IF(COUNTIF('Risk Register'!$R$7:$R$206,"6|A|21")=0,"",INDEX('Risk Register'!$A$7:$A$206,MATCH("6|A|21",'Risk Register'!$R$7:$R$206,0)))</f>
        <v/>
      </c>
      <c r="AD12" s="37" t="str">
        <f>IF(COUNTIF('Risk Register'!$R$7:$R$206,"6|A|22")=0,"",INDEX('Risk Register'!$A$7:$A$206,MATCH("6|A|22",'Risk Register'!$R$7:$R$206,0)))</f>
        <v/>
      </c>
      <c r="AE12" s="37" t="str">
        <f>IF(COUNTIF('Risk Register'!$R$7:$R$206,"6|A|23")=0,"",INDEX('Risk Register'!$A$7:$A$206,MATCH("6|A|23",'Risk Register'!$R$7:$R$206,0)))</f>
        <v/>
      </c>
      <c r="AF12" s="37" t="str">
        <f>IF(COUNTIF('Risk Register'!$R$7:$R$206,"6|A|24")=0,"",INDEX('Risk Register'!$A$7:$A$206,MATCH("6|A|24",'Risk Register'!$R$7:$R$206,0)))</f>
        <v/>
      </c>
      <c r="AG12" s="38" t="str">
        <f>IF(COUNTIF('Risk Register'!$R$7:$R$206,"6|A|25")=0,"",INDEX('Risk Register'!$A$7:$A$206,MATCH("6|A|25",'Risk Register'!$R$7:$R$206,0)))</f>
        <v/>
      </c>
      <c r="AH12" s="36" t="str">
        <f>IF(COUNTIF('Risk Register'!$R$7:$R$206,"7|A|21")=0,"",INDEX('Risk Register'!$A$7:$A$206,MATCH("7|A|21",'Risk Register'!$R$7:$R$206,0)))</f>
        <v/>
      </c>
      <c r="AI12" s="37" t="str">
        <f>IF(COUNTIF('Risk Register'!$R$7:$R$206,"7|A|22")=0,"",INDEX('Risk Register'!$A$7:$A$206,MATCH("7|A|22",'Risk Register'!$R$7:$R$206,0)))</f>
        <v/>
      </c>
      <c r="AJ12" s="37" t="str">
        <f>IF(COUNTIF('Risk Register'!$R$7:$R$206,"7|A|23")=0,"",INDEX('Risk Register'!$A$7:$A$206,MATCH("7|A|23",'Risk Register'!$R$7:$R$206,0)))</f>
        <v/>
      </c>
      <c r="AK12" s="37" t="str">
        <f>IF(COUNTIF('Risk Register'!$R$7:$R$206,"7|A|24")=0,"",INDEX('Risk Register'!$A$7:$A$206,MATCH("7|A|24",'Risk Register'!$R$7:$R$206,0)))</f>
        <v/>
      </c>
      <c r="AL12" s="38" t="str">
        <f>IF(COUNTIF('Risk Register'!$R$7:$R$206,"7|A|25")=0,"",INDEX('Risk Register'!$A$7:$A$206,MATCH("7|A|25",'Risk Register'!$R$7:$R$206,0)))</f>
        <v/>
      </c>
      <c r="AM12" s="36" t="str">
        <f>IF(COUNTIF('Risk Register'!$R$7:$R$206,"8|A|21")=0,"",INDEX('Risk Register'!$A$7:$A$206,MATCH("8|A|21",'Risk Register'!$R$7:$R$206,0)))</f>
        <v/>
      </c>
      <c r="AN12" s="37" t="str">
        <f>IF(COUNTIF('Risk Register'!$R$7:$R$206,"8|A|22")=0,"",INDEX('Risk Register'!$A$7:$A$206,MATCH("8|A|22",'Risk Register'!$R$7:$R$206,0)))</f>
        <v/>
      </c>
      <c r="AO12" s="37" t="str">
        <f>IF(COUNTIF('Risk Register'!$R$7:$R$206,"8|A|23")=0,"",INDEX('Risk Register'!$A$7:$A$206,MATCH("8|A|23",'Risk Register'!$R$7:$R$206,0)))</f>
        <v/>
      </c>
      <c r="AP12" s="37" t="str">
        <f>IF(COUNTIF('Risk Register'!$R$7:$R$206,"8|A|24")=0,"",INDEX('Risk Register'!$A$7:$A$206,MATCH("8|A|24",'Risk Register'!$R$7:$R$206,0)))</f>
        <v/>
      </c>
      <c r="AQ12" s="38" t="str">
        <f>IF(COUNTIF('Risk Register'!$R$7:$R$206,"8|A|25")=0,"",INDEX('Risk Register'!$A$7:$A$206,MATCH("8|A|25",'Risk Register'!$R$7:$R$206,0)))</f>
        <v/>
      </c>
      <c r="AS12" s="10">
        <f>IFERROR(INDEX('Risk Register'!$A$7:$A$206,5),"")</f>
        <v>5</v>
      </c>
      <c r="AT12" s="10" t="str">
        <f>IFERROR(INDEX('Risk Register'!$B$7:$B$206,5),"")</f>
        <v>Hole instability Issues</v>
      </c>
    </row>
    <row r="13" spans="1:46" ht="18" customHeight="1">
      <c r="B13" s="56"/>
      <c r="C13" s="58" t="s">
        <v>29</v>
      </c>
      <c r="D13" s="13" t="str">
        <f>IF(COUNTIF('Risk Register'!$R$7:$R$206,"1|B|1")=0,"",INDEX('Risk Register'!$A$7:$A$206,MATCH("1|B|1",'Risk Register'!$R$7:$R$206,0)))</f>
        <v/>
      </c>
      <c r="E13" s="14" t="str">
        <f>IF(COUNTIF('Risk Register'!$R$7:$R$206,"1|B|2")=0,"",INDEX('Risk Register'!$A$7:$A$206,MATCH("1|B|2",'Risk Register'!$R$7:$R$206,0)))</f>
        <v/>
      </c>
      <c r="F13" s="14" t="str">
        <f>IF(COUNTIF('Risk Register'!$R$7:$R$206,"1|B|3")=0,"",INDEX('Risk Register'!$A$7:$A$206,MATCH("1|B|3",'Risk Register'!$R$7:$R$206,0)))</f>
        <v/>
      </c>
      <c r="G13" s="14" t="str">
        <f>IF(COUNTIF('Risk Register'!$R$7:$R$206,"1|B|4")=0,"",INDEX('Risk Register'!$A$7:$A$206,MATCH("1|B|4",'Risk Register'!$R$7:$R$206,0)))</f>
        <v/>
      </c>
      <c r="H13" s="15" t="str">
        <f>IF(COUNTIF('Risk Register'!$R$7:$R$206,"1|B|5")=0,"",INDEX('Risk Register'!$A$7:$A$206,MATCH("1|B|5",'Risk Register'!$R$7:$R$206,0)))</f>
        <v/>
      </c>
      <c r="I13" s="13" t="str">
        <f>IF(COUNTIF('Risk Register'!$R$7:$R$206,"2|B|1")=0,"",INDEX('Risk Register'!$A$7:$A$206,MATCH("2|B|1",'Risk Register'!$R$7:$R$206,0)))</f>
        <v/>
      </c>
      <c r="J13" s="14" t="str">
        <f>IF(COUNTIF('Risk Register'!$R$7:$R$206,"2|B|2")=0,"",INDEX('Risk Register'!$A$7:$A$206,MATCH("2|B|2",'Risk Register'!$R$7:$R$206,0)))</f>
        <v/>
      </c>
      <c r="K13" s="14" t="str">
        <f>IF(COUNTIF('Risk Register'!$R$7:$R$206,"2|B|3")=0,"",INDEX('Risk Register'!$A$7:$A$206,MATCH("2|B|3",'Risk Register'!$R$7:$R$206,0)))</f>
        <v/>
      </c>
      <c r="L13" s="14" t="str">
        <f>IF(COUNTIF('Risk Register'!$R$7:$R$206,"2|B|4")=0,"",INDEX('Risk Register'!$A$7:$A$206,MATCH("2|B|4",'Risk Register'!$R$7:$R$206,0)))</f>
        <v/>
      </c>
      <c r="M13" s="15" t="str">
        <f>IF(COUNTIF('Risk Register'!$R$7:$R$206,"2|B|5")=0,"",INDEX('Risk Register'!$A$7:$A$206,MATCH("2|B|5",'Risk Register'!$R$7:$R$206,0)))</f>
        <v/>
      </c>
      <c r="N13" s="31" t="str">
        <f>IF(COUNTIF('Risk Register'!$R$7:$R$206,"3|B|1")=0,"",INDEX('Risk Register'!$A$7:$A$206,MATCH("3|B|1",'Risk Register'!$R$7:$R$206,0)))</f>
        <v/>
      </c>
      <c r="O13" s="32" t="str">
        <f>IF(COUNTIF('Risk Register'!$R$7:$R$206,"3|B|2")=0,"",INDEX('Risk Register'!$A$7:$A$206,MATCH("3|B|2",'Risk Register'!$R$7:$R$206,0)))</f>
        <v/>
      </c>
      <c r="P13" s="32" t="str">
        <f>IF(COUNTIF('Risk Register'!$R$7:$R$206,"3|B|3")=0,"",INDEX('Risk Register'!$A$7:$A$206,MATCH("3|B|3",'Risk Register'!$R$7:$R$206,0)))</f>
        <v/>
      </c>
      <c r="Q13" s="32" t="str">
        <f>IF(COUNTIF('Risk Register'!$R$7:$R$206,"3|B|4")=0,"",INDEX('Risk Register'!$A$7:$A$206,MATCH("3|B|4",'Risk Register'!$R$7:$R$206,0)))</f>
        <v/>
      </c>
      <c r="R13" s="33" t="str">
        <f>IF(COUNTIF('Risk Register'!$R$7:$R$206,"3|B|5")=0,"",INDEX('Risk Register'!$A$7:$A$206,MATCH("3|B|5",'Risk Register'!$R$7:$R$206,0)))</f>
        <v/>
      </c>
      <c r="S13" s="31">
        <f>IF(COUNTIF('Risk Register'!$R$7:$R$206,"4|B|1")=0,"",INDEX('Risk Register'!$A$7:$A$206,MATCH("4|B|1",'Risk Register'!$R$7:$R$206,0)))</f>
        <v>28</v>
      </c>
      <c r="T13" s="32" t="str">
        <f>IF(COUNTIF('Risk Register'!$R$7:$R$206,"4|B|2")=0,"",INDEX('Risk Register'!$A$7:$A$206,MATCH("4|B|2",'Risk Register'!$R$7:$R$206,0)))</f>
        <v/>
      </c>
      <c r="U13" s="32" t="str">
        <f>IF(COUNTIF('Risk Register'!$R$7:$R$206,"4|B|3")=0,"",INDEX('Risk Register'!$A$7:$A$206,MATCH("4|B|3",'Risk Register'!$R$7:$R$206,0)))</f>
        <v/>
      </c>
      <c r="V13" s="32" t="str">
        <f>IF(COUNTIF('Risk Register'!$R$7:$R$206,"4|B|4")=0,"",INDEX('Risk Register'!$A$7:$A$206,MATCH("4|B|4",'Risk Register'!$R$7:$R$206,0)))</f>
        <v/>
      </c>
      <c r="W13" s="33" t="str">
        <f>IF(COUNTIF('Risk Register'!$R$7:$R$206,"4|B|5")=0,"",INDEX('Risk Register'!$A$7:$A$206,MATCH("4|B|5",'Risk Register'!$R$7:$R$206,0)))</f>
        <v/>
      </c>
      <c r="X13" s="31" t="str">
        <f>IF(COUNTIF('Risk Register'!$R$7:$R$206,"5|B|1")=0,"",INDEX('Risk Register'!$A$7:$A$206,MATCH("5|B|1",'Risk Register'!$R$7:$R$206,0)))</f>
        <v/>
      </c>
      <c r="Y13" s="32" t="str">
        <f>IF(COUNTIF('Risk Register'!$R$7:$R$206,"5|B|2")=0,"",INDEX('Risk Register'!$A$7:$A$206,MATCH("5|B|2",'Risk Register'!$R$7:$R$206,0)))</f>
        <v/>
      </c>
      <c r="Z13" s="32" t="str">
        <f>IF(COUNTIF('Risk Register'!$R$7:$R$206,"5|B|3")=0,"",INDEX('Risk Register'!$A$7:$A$206,MATCH("5|B|3",'Risk Register'!$R$7:$R$206,0)))</f>
        <v/>
      </c>
      <c r="AA13" s="32" t="str">
        <f>IF(COUNTIF('Risk Register'!$R$7:$R$206,"5|B|4")=0,"",INDEX('Risk Register'!$A$7:$A$206,MATCH("5|B|4",'Risk Register'!$R$7:$R$206,0)))</f>
        <v/>
      </c>
      <c r="AB13" s="33" t="str">
        <f>IF(COUNTIF('Risk Register'!$R$7:$R$206,"5|B|5")=0,"",INDEX('Risk Register'!$A$7:$A$206,MATCH("5|B|5",'Risk Register'!$R$7:$R$206,0)))</f>
        <v/>
      </c>
      <c r="AC13" s="31" t="str">
        <f>IF(COUNTIF('Risk Register'!$R$7:$R$206,"6|B|1")=0,"",INDEX('Risk Register'!$A$7:$A$206,MATCH("6|B|1",'Risk Register'!$R$7:$R$206,0)))</f>
        <v/>
      </c>
      <c r="AD13" s="32" t="str">
        <f>IF(COUNTIF('Risk Register'!$R$7:$R$206,"6|B|2")=0,"",INDEX('Risk Register'!$A$7:$A$206,MATCH("6|B|2",'Risk Register'!$R$7:$R$206,0)))</f>
        <v/>
      </c>
      <c r="AE13" s="32" t="str">
        <f>IF(COUNTIF('Risk Register'!$R$7:$R$206,"6|B|3")=0,"",INDEX('Risk Register'!$A$7:$A$206,MATCH("6|B|3",'Risk Register'!$R$7:$R$206,0)))</f>
        <v/>
      </c>
      <c r="AF13" s="32" t="str">
        <f>IF(COUNTIF('Risk Register'!$R$7:$R$206,"6|B|4")=0,"",INDEX('Risk Register'!$A$7:$A$206,MATCH("6|B|4",'Risk Register'!$R$7:$R$206,0)))</f>
        <v/>
      </c>
      <c r="AG13" s="33" t="str">
        <f>IF(COUNTIF('Risk Register'!$R$7:$R$206,"6|B|5")=0,"",INDEX('Risk Register'!$A$7:$A$206,MATCH("6|B|5",'Risk Register'!$R$7:$R$206,0)))</f>
        <v/>
      </c>
      <c r="AH13" s="31" t="str">
        <f>IF(COUNTIF('Risk Register'!$R$7:$R$206,"7|B|1")=0,"",INDEX('Risk Register'!$A$7:$A$206,MATCH("7|B|1",'Risk Register'!$R$7:$R$206,0)))</f>
        <v/>
      </c>
      <c r="AI13" s="32" t="str">
        <f>IF(COUNTIF('Risk Register'!$R$7:$R$206,"7|B|2")=0,"",INDEX('Risk Register'!$A$7:$A$206,MATCH("7|B|2",'Risk Register'!$R$7:$R$206,0)))</f>
        <v/>
      </c>
      <c r="AJ13" s="32" t="str">
        <f>IF(COUNTIF('Risk Register'!$R$7:$R$206,"7|B|3")=0,"",INDEX('Risk Register'!$A$7:$A$206,MATCH("7|B|3",'Risk Register'!$R$7:$R$206,0)))</f>
        <v/>
      </c>
      <c r="AK13" s="32" t="str">
        <f>IF(COUNTIF('Risk Register'!$R$7:$R$206,"7|B|4")=0,"",INDEX('Risk Register'!$A$7:$A$206,MATCH("7|B|4",'Risk Register'!$R$7:$R$206,0)))</f>
        <v/>
      </c>
      <c r="AL13" s="33" t="str">
        <f>IF(COUNTIF('Risk Register'!$R$7:$R$206,"7|B|5")=0,"",INDEX('Risk Register'!$A$7:$A$206,MATCH("7|B|5",'Risk Register'!$R$7:$R$206,0)))</f>
        <v/>
      </c>
      <c r="AM13" s="31" t="str">
        <f>IF(COUNTIF('Risk Register'!$R$7:$R$206,"8|B|1")=0,"",INDEX('Risk Register'!$A$7:$A$206,MATCH("8|B|1",'Risk Register'!$R$7:$R$206,0)))</f>
        <v/>
      </c>
      <c r="AN13" s="32" t="str">
        <f>IF(COUNTIF('Risk Register'!$R$7:$R$206,"8|B|2")=0,"",INDEX('Risk Register'!$A$7:$A$206,MATCH("8|B|2",'Risk Register'!$R$7:$R$206,0)))</f>
        <v/>
      </c>
      <c r="AO13" s="32" t="str">
        <f>IF(COUNTIF('Risk Register'!$R$7:$R$206,"8|B|3")=0,"",INDEX('Risk Register'!$A$7:$A$206,MATCH("8|B|3",'Risk Register'!$R$7:$R$206,0)))</f>
        <v/>
      </c>
      <c r="AP13" s="32" t="str">
        <f>IF(COUNTIF('Risk Register'!$R$7:$R$206,"8|B|4")=0,"",INDEX('Risk Register'!$A$7:$A$206,MATCH("8|B|4",'Risk Register'!$R$7:$R$206,0)))</f>
        <v/>
      </c>
      <c r="AQ13" s="33" t="str">
        <f>IF(COUNTIF('Risk Register'!$R$7:$R$206,"8|B|5")=0,"",INDEX('Risk Register'!$A$7:$A$206,MATCH("8|B|5",'Risk Register'!$R$7:$R$206,0)))</f>
        <v/>
      </c>
      <c r="AS13" s="10">
        <f>IFERROR(INDEX('Risk Register'!$A$7:$A$206,6),"")</f>
        <v>6</v>
      </c>
      <c r="AT13" s="10" t="str">
        <f>IFERROR(INDEX('Risk Register'!$B$7:$B$206,6),"")</f>
        <v>Pack offs around BHA while drilling shoetrack or connection</v>
      </c>
    </row>
    <row r="14" spans="1:46" ht="18" customHeight="1">
      <c r="B14" s="56"/>
      <c r="C14" s="58"/>
      <c r="D14" s="16" t="str">
        <f>IF(COUNTIF('Risk Register'!$R$7:$R$206,"1|B|6")=0,"",INDEX('Risk Register'!$A$7:$A$206,MATCH("1|B|6",'Risk Register'!$R$7:$R$206,0)))</f>
        <v/>
      </c>
      <c r="E14" s="12" t="str">
        <f>IF(COUNTIF('Risk Register'!$R$7:$R$206,"1|B|7")=0,"",INDEX('Risk Register'!$A$7:$A$206,MATCH("1|B|7",'Risk Register'!$R$7:$R$206,0)))</f>
        <v/>
      </c>
      <c r="F14" s="12" t="str">
        <f>IF(COUNTIF('Risk Register'!$R$7:$R$206,"1|B|8")=0,"",INDEX('Risk Register'!$A$7:$A$206,MATCH("1|B|8",'Risk Register'!$R$7:$R$206,0)))</f>
        <v/>
      </c>
      <c r="G14" s="12" t="str">
        <f>IF(COUNTIF('Risk Register'!$R$7:$R$206,"1|B|9")=0,"",INDEX('Risk Register'!$A$7:$A$206,MATCH("1|B|9",'Risk Register'!$R$7:$R$206,0)))</f>
        <v/>
      </c>
      <c r="H14" s="17" t="str">
        <f>IF(COUNTIF('Risk Register'!$R$7:$R$206,"1|B|10")=0,"",INDEX('Risk Register'!$A$7:$A$206,MATCH("1|B|10",'Risk Register'!$R$7:$R$206,0)))</f>
        <v/>
      </c>
      <c r="I14" s="16" t="str">
        <f>IF(COUNTIF('Risk Register'!$R$7:$R$206,"2|B|6")=0,"",INDEX('Risk Register'!$A$7:$A$206,MATCH("2|B|6",'Risk Register'!$R$7:$R$206,0)))</f>
        <v/>
      </c>
      <c r="J14" s="12" t="str">
        <f>IF(COUNTIF('Risk Register'!$R$7:$R$206,"2|B|7")=0,"",INDEX('Risk Register'!$A$7:$A$206,MATCH("2|B|7",'Risk Register'!$R$7:$R$206,0)))</f>
        <v/>
      </c>
      <c r="K14" s="12" t="str">
        <f>IF(COUNTIF('Risk Register'!$R$7:$R$206,"2|B|8")=0,"",INDEX('Risk Register'!$A$7:$A$206,MATCH("2|B|8",'Risk Register'!$R$7:$R$206,0)))</f>
        <v/>
      </c>
      <c r="L14" s="12" t="str">
        <f>IF(COUNTIF('Risk Register'!$R$7:$R$206,"2|B|9")=0,"",INDEX('Risk Register'!$A$7:$A$206,MATCH("2|B|9",'Risk Register'!$R$7:$R$206,0)))</f>
        <v/>
      </c>
      <c r="M14" s="17" t="str">
        <f>IF(COUNTIF('Risk Register'!$R$7:$R$206,"2|B|10")=0,"",INDEX('Risk Register'!$A$7:$A$206,MATCH("2|B|10",'Risk Register'!$R$7:$R$206,0)))</f>
        <v/>
      </c>
      <c r="N14" s="34" t="str">
        <f>IF(COUNTIF('Risk Register'!$R$7:$R$206,"3|B|6")=0,"",INDEX('Risk Register'!$A$7:$A$206,MATCH("3|B|6",'Risk Register'!$R$7:$R$206,0)))</f>
        <v/>
      </c>
      <c r="O14" s="11" t="str">
        <f>IF(COUNTIF('Risk Register'!$R$7:$R$206,"3|B|7")=0,"",INDEX('Risk Register'!$A$7:$A$206,MATCH("3|B|7",'Risk Register'!$R$7:$R$206,0)))</f>
        <v/>
      </c>
      <c r="P14" s="11" t="str">
        <f>IF(COUNTIF('Risk Register'!$R$7:$R$206,"3|B|8")=0,"",INDEX('Risk Register'!$A$7:$A$206,MATCH("3|B|8",'Risk Register'!$R$7:$R$206,0)))</f>
        <v/>
      </c>
      <c r="Q14" s="11" t="str">
        <f>IF(COUNTIF('Risk Register'!$R$7:$R$206,"3|B|9")=0,"",INDEX('Risk Register'!$A$7:$A$206,MATCH("3|B|9",'Risk Register'!$R$7:$R$206,0)))</f>
        <v/>
      </c>
      <c r="R14" s="35" t="str">
        <f>IF(COUNTIF('Risk Register'!$R$7:$R$206,"3|B|10")=0,"",INDEX('Risk Register'!$A$7:$A$206,MATCH("3|B|10",'Risk Register'!$R$7:$R$206,0)))</f>
        <v/>
      </c>
      <c r="S14" s="34" t="str">
        <f>IF(COUNTIF('Risk Register'!$R$7:$R$206,"4|B|6")=0,"",INDEX('Risk Register'!$A$7:$A$206,MATCH("4|B|6",'Risk Register'!$R$7:$R$206,0)))</f>
        <v/>
      </c>
      <c r="T14" s="11" t="str">
        <f>IF(COUNTIF('Risk Register'!$R$7:$R$206,"4|B|7")=0,"",INDEX('Risk Register'!$A$7:$A$206,MATCH("4|B|7",'Risk Register'!$R$7:$R$206,0)))</f>
        <v/>
      </c>
      <c r="U14" s="11" t="str">
        <f>IF(COUNTIF('Risk Register'!$R$7:$R$206,"4|B|8")=0,"",INDEX('Risk Register'!$A$7:$A$206,MATCH("4|B|8",'Risk Register'!$R$7:$R$206,0)))</f>
        <v/>
      </c>
      <c r="V14" s="11" t="str">
        <f>IF(COUNTIF('Risk Register'!$R$7:$R$206,"4|B|9")=0,"",INDEX('Risk Register'!$A$7:$A$206,MATCH("4|B|9",'Risk Register'!$R$7:$R$206,0)))</f>
        <v/>
      </c>
      <c r="W14" s="35" t="str">
        <f>IF(COUNTIF('Risk Register'!$R$7:$R$206,"4|B|10")=0,"",INDEX('Risk Register'!$A$7:$A$206,MATCH("4|B|10",'Risk Register'!$R$7:$R$206,0)))</f>
        <v/>
      </c>
      <c r="X14" s="34" t="str">
        <f>IF(COUNTIF('Risk Register'!$R$7:$R$206,"5|B|6")=0,"",INDEX('Risk Register'!$A$7:$A$206,MATCH("5|B|6",'Risk Register'!$R$7:$R$206,0)))</f>
        <v/>
      </c>
      <c r="Y14" s="11" t="str">
        <f>IF(COUNTIF('Risk Register'!$R$7:$R$206,"5|B|7")=0,"",INDEX('Risk Register'!$A$7:$A$206,MATCH("5|B|7",'Risk Register'!$R$7:$R$206,0)))</f>
        <v/>
      </c>
      <c r="Z14" s="11" t="str">
        <f>IF(COUNTIF('Risk Register'!$R$7:$R$206,"5|B|8")=0,"",INDEX('Risk Register'!$A$7:$A$206,MATCH("5|B|8",'Risk Register'!$R$7:$R$206,0)))</f>
        <v/>
      </c>
      <c r="AA14" s="11" t="str">
        <f>IF(COUNTIF('Risk Register'!$R$7:$R$206,"5|B|9")=0,"",INDEX('Risk Register'!$A$7:$A$206,MATCH("5|B|9",'Risk Register'!$R$7:$R$206,0)))</f>
        <v/>
      </c>
      <c r="AB14" s="35" t="str">
        <f>IF(COUNTIF('Risk Register'!$R$7:$R$206,"5|B|10")=0,"",INDEX('Risk Register'!$A$7:$A$206,MATCH("5|B|10",'Risk Register'!$R$7:$R$206,0)))</f>
        <v/>
      </c>
      <c r="AC14" s="34" t="str">
        <f>IF(COUNTIF('Risk Register'!$R$7:$R$206,"6|B|6")=0,"",INDEX('Risk Register'!$A$7:$A$206,MATCH("6|B|6",'Risk Register'!$R$7:$R$206,0)))</f>
        <v/>
      </c>
      <c r="AD14" s="11" t="str">
        <f>IF(COUNTIF('Risk Register'!$R$7:$R$206,"6|B|7")=0,"",INDEX('Risk Register'!$A$7:$A$206,MATCH("6|B|7",'Risk Register'!$R$7:$R$206,0)))</f>
        <v/>
      </c>
      <c r="AE14" s="11" t="str">
        <f>IF(COUNTIF('Risk Register'!$R$7:$R$206,"6|B|8")=0,"",INDEX('Risk Register'!$A$7:$A$206,MATCH("6|B|8",'Risk Register'!$R$7:$R$206,0)))</f>
        <v/>
      </c>
      <c r="AF14" s="11" t="str">
        <f>IF(COUNTIF('Risk Register'!$R$7:$R$206,"6|B|9")=0,"",INDEX('Risk Register'!$A$7:$A$206,MATCH("6|B|9",'Risk Register'!$R$7:$R$206,0)))</f>
        <v/>
      </c>
      <c r="AG14" s="35" t="str">
        <f>IF(COUNTIF('Risk Register'!$R$7:$R$206,"6|B|10")=0,"",INDEX('Risk Register'!$A$7:$A$206,MATCH("6|B|10",'Risk Register'!$R$7:$R$206,0)))</f>
        <v/>
      </c>
      <c r="AH14" s="34" t="str">
        <f>IF(COUNTIF('Risk Register'!$R$7:$R$206,"7|B|6")=0,"",INDEX('Risk Register'!$A$7:$A$206,MATCH("7|B|6",'Risk Register'!$R$7:$R$206,0)))</f>
        <v/>
      </c>
      <c r="AI14" s="11" t="str">
        <f>IF(COUNTIF('Risk Register'!$R$7:$R$206,"7|B|7")=0,"",INDEX('Risk Register'!$A$7:$A$206,MATCH("7|B|7",'Risk Register'!$R$7:$R$206,0)))</f>
        <v/>
      </c>
      <c r="AJ14" s="11" t="str">
        <f>IF(COUNTIF('Risk Register'!$R$7:$R$206,"7|B|8")=0,"",INDEX('Risk Register'!$A$7:$A$206,MATCH("7|B|8",'Risk Register'!$R$7:$R$206,0)))</f>
        <v/>
      </c>
      <c r="AK14" s="11" t="str">
        <f>IF(COUNTIF('Risk Register'!$R$7:$R$206,"7|B|9")=0,"",INDEX('Risk Register'!$A$7:$A$206,MATCH("7|B|9",'Risk Register'!$R$7:$R$206,0)))</f>
        <v/>
      </c>
      <c r="AL14" s="35" t="str">
        <f>IF(COUNTIF('Risk Register'!$R$7:$R$206,"7|B|10")=0,"",INDEX('Risk Register'!$A$7:$A$206,MATCH("7|B|10",'Risk Register'!$R$7:$R$206,0)))</f>
        <v/>
      </c>
      <c r="AM14" s="34" t="str">
        <f>IF(COUNTIF('Risk Register'!$R$7:$R$206,"8|B|6")=0,"",INDEX('Risk Register'!$A$7:$A$206,MATCH("8|B|6",'Risk Register'!$R$7:$R$206,0)))</f>
        <v/>
      </c>
      <c r="AN14" s="11" t="str">
        <f>IF(COUNTIF('Risk Register'!$R$7:$R$206,"8|B|7")=0,"",INDEX('Risk Register'!$A$7:$A$206,MATCH("8|B|7",'Risk Register'!$R$7:$R$206,0)))</f>
        <v/>
      </c>
      <c r="AO14" s="11" t="str">
        <f>IF(COUNTIF('Risk Register'!$R$7:$R$206,"8|B|8")=0,"",INDEX('Risk Register'!$A$7:$A$206,MATCH("8|B|8",'Risk Register'!$R$7:$R$206,0)))</f>
        <v/>
      </c>
      <c r="AP14" s="11" t="str">
        <f>IF(COUNTIF('Risk Register'!$R$7:$R$206,"8|B|9")=0,"",INDEX('Risk Register'!$A$7:$A$206,MATCH("8|B|9",'Risk Register'!$R$7:$R$206,0)))</f>
        <v/>
      </c>
      <c r="AQ14" s="35" t="str">
        <f>IF(COUNTIF('Risk Register'!$R$7:$R$206,"8|B|10")=0,"",INDEX('Risk Register'!$A$7:$A$206,MATCH("8|B|10",'Risk Register'!$R$7:$R$206,0)))</f>
        <v/>
      </c>
      <c r="AS14" s="10">
        <f>IFERROR(INDEX('Risk Register'!$A$7:$A$206,7),"")</f>
        <v>7</v>
      </c>
      <c r="AT14" s="10" t="str">
        <f>IFERROR(INDEX('Risk Register'!$B$7:$B$206,7),"")</f>
        <v>Losses during cement job</v>
      </c>
    </row>
    <row r="15" spans="1:46" ht="18" customHeight="1">
      <c r="B15" s="56"/>
      <c r="C15" s="58"/>
      <c r="D15" s="16" t="str">
        <f>IF(COUNTIF('Risk Register'!$R$7:$R$206,"1|B|11")=0,"",INDEX('Risk Register'!$A$7:$A$206,MATCH("1|B|11",'Risk Register'!$R$7:$R$206,0)))</f>
        <v/>
      </c>
      <c r="E15" s="12" t="str">
        <f>IF(COUNTIF('Risk Register'!$R$7:$R$206,"1|B|12")=0,"",INDEX('Risk Register'!$A$7:$A$206,MATCH("1|B|12",'Risk Register'!$R$7:$R$206,0)))</f>
        <v/>
      </c>
      <c r="F15" s="12" t="str">
        <f>IF(COUNTIF('Risk Register'!$R$7:$R$206,"1|B|13")=0,"",INDEX('Risk Register'!$A$7:$A$206,MATCH("1|B|13",'Risk Register'!$R$7:$R$206,0)))</f>
        <v/>
      </c>
      <c r="G15" s="12" t="str">
        <f>IF(COUNTIF('Risk Register'!$R$7:$R$206,"1|B|14")=0,"",INDEX('Risk Register'!$A$7:$A$206,MATCH("1|B|14",'Risk Register'!$R$7:$R$206,0)))</f>
        <v/>
      </c>
      <c r="H15" s="17" t="str">
        <f>IF(COUNTIF('Risk Register'!$R$7:$R$206,"1|B|15")=0,"",INDEX('Risk Register'!$A$7:$A$206,MATCH("1|B|15",'Risk Register'!$R$7:$R$206,0)))</f>
        <v/>
      </c>
      <c r="I15" s="16" t="str">
        <f>IF(COUNTIF('Risk Register'!$R$7:$R$206,"2|B|11")=0,"",INDEX('Risk Register'!$A$7:$A$206,MATCH("2|B|11",'Risk Register'!$R$7:$R$206,0)))</f>
        <v/>
      </c>
      <c r="J15" s="12" t="str">
        <f>IF(COUNTIF('Risk Register'!$R$7:$R$206,"2|B|12")=0,"",INDEX('Risk Register'!$A$7:$A$206,MATCH("2|B|12",'Risk Register'!$R$7:$R$206,0)))</f>
        <v/>
      </c>
      <c r="K15" s="12" t="str">
        <f>IF(COUNTIF('Risk Register'!$R$7:$R$206,"2|B|13")=0,"",INDEX('Risk Register'!$A$7:$A$206,MATCH("2|B|13",'Risk Register'!$R$7:$R$206,0)))</f>
        <v/>
      </c>
      <c r="L15" s="12" t="str">
        <f>IF(COUNTIF('Risk Register'!$R$7:$R$206,"2|B|14")=0,"",INDEX('Risk Register'!$A$7:$A$206,MATCH("2|B|14",'Risk Register'!$R$7:$R$206,0)))</f>
        <v/>
      </c>
      <c r="M15" s="17" t="str">
        <f>IF(COUNTIF('Risk Register'!$R$7:$R$206,"2|B|15")=0,"",INDEX('Risk Register'!$A$7:$A$206,MATCH("2|B|15",'Risk Register'!$R$7:$R$206,0)))</f>
        <v/>
      </c>
      <c r="N15" s="34" t="str">
        <f>IF(COUNTIF('Risk Register'!$R$7:$R$206,"3|B|11")=0,"",INDEX('Risk Register'!$A$7:$A$206,MATCH("3|B|11",'Risk Register'!$R$7:$R$206,0)))</f>
        <v/>
      </c>
      <c r="O15" s="11" t="str">
        <f>IF(COUNTIF('Risk Register'!$R$7:$R$206,"3|B|12")=0,"",INDEX('Risk Register'!$A$7:$A$206,MATCH("3|B|12",'Risk Register'!$R$7:$R$206,0)))</f>
        <v/>
      </c>
      <c r="P15" s="11" t="str">
        <f>IF(COUNTIF('Risk Register'!$R$7:$R$206,"3|B|13")=0,"",INDEX('Risk Register'!$A$7:$A$206,MATCH("3|B|13",'Risk Register'!$R$7:$R$206,0)))</f>
        <v/>
      </c>
      <c r="Q15" s="11" t="str">
        <f>IF(COUNTIF('Risk Register'!$R$7:$R$206,"3|B|14")=0,"",INDEX('Risk Register'!$A$7:$A$206,MATCH("3|B|14",'Risk Register'!$R$7:$R$206,0)))</f>
        <v/>
      </c>
      <c r="R15" s="35" t="str">
        <f>IF(COUNTIF('Risk Register'!$R$7:$R$206,"3|B|15")=0,"",INDEX('Risk Register'!$A$7:$A$206,MATCH("3|B|15",'Risk Register'!$R$7:$R$206,0)))</f>
        <v/>
      </c>
      <c r="S15" s="34" t="str">
        <f>IF(COUNTIF('Risk Register'!$R$7:$R$206,"4|B|11")=0,"",INDEX('Risk Register'!$A$7:$A$206,MATCH("4|B|11",'Risk Register'!$R$7:$R$206,0)))</f>
        <v/>
      </c>
      <c r="T15" s="11" t="str">
        <f>IF(COUNTIF('Risk Register'!$R$7:$R$206,"4|B|12")=0,"",INDEX('Risk Register'!$A$7:$A$206,MATCH("4|B|12",'Risk Register'!$R$7:$R$206,0)))</f>
        <v/>
      </c>
      <c r="U15" s="11" t="str">
        <f>IF(COUNTIF('Risk Register'!$R$7:$R$206,"4|B|13")=0,"",INDEX('Risk Register'!$A$7:$A$206,MATCH("4|B|13",'Risk Register'!$R$7:$R$206,0)))</f>
        <v/>
      </c>
      <c r="V15" s="11" t="str">
        <f>IF(COUNTIF('Risk Register'!$R$7:$R$206,"4|B|14")=0,"",INDEX('Risk Register'!$A$7:$A$206,MATCH("4|B|14",'Risk Register'!$R$7:$R$206,0)))</f>
        <v/>
      </c>
      <c r="W15" s="35" t="str">
        <f>IF(COUNTIF('Risk Register'!$R$7:$R$206,"4|B|15")=0,"",INDEX('Risk Register'!$A$7:$A$206,MATCH("4|B|15",'Risk Register'!$R$7:$R$206,0)))</f>
        <v/>
      </c>
      <c r="X15" s="34" t="str">
        <f>IF(COUNTIF('Risk Register'!$R$7:$R$206,"5|B|11")=0,"",INDEX('Risk Register'!$A$7:$A$206,MATCH("5|B|11",'Risk Register'!$R$7:$R$206,0)))</f>
        <v/>
      </c>
      <c r="Y15" s="11" t="str">
        <f>IF(COUNTIF('Risk Register'!$R$7:$R$206,"5|B|12")=0,"",INDEX('Risk Register'!$A$7:$A$206,MATCH("5|B|12",'Risk Register'!$R$7:$R$206,0)))</f>
        <v/>
      </c>
      <c r="Z15" s="11" t="str">
        <f>IF(COUNTIF('Risk Register'!$R$7:$R$206,"5|B|13")=0,"",INDEX('Risk Register'!$A$7:$A$206,MATCH("5|B|13",'Risk Register'!$R$7:$R$206,0)))</f>
        <v/>
      </c>
      <c r="AA15" s="11" t="str">
        <f>IF(COUNTIF('Risk Register'!$R$7:$R$206,"5|B|14")=0,"",INDEX('Risk Register'!$A$7:$A$206,MATCH("5|B|14",'Risk Register'!$R$7:$R$206,0)))</f>
        <v/>
      </c>
      <c r="AB15" s="35" t="str">
        <f>IF(COUNTIF('Risk Register'!$R$7:$R$206,"5|B|15")=0,"",INDEX('Risk Register'!$A$7:$A$206,MATCH("5|B|15",'Risk Register'!$R$7:$R$206,0)))</f>
        <v/>
      </c>
      <c r="AC15" s="34" t="str">
        <f>IF(COUNTIF('Risk Register'!$R$7:$R$206,"6|B|11")=0,"",INDEX('Risk Register'!$A$7:$A$206,MATCH("6|B|11",'Risk Register'!$R$7:$R$206,0)))</f>
        <v/>
      </c>
      <c r="AD15" s="11" t="str">
        <f>IF(COUNTIF('Risk Register'!$R$7:$R$206,"6|B|12")=0,"",INDEX('Risk Register'!$A$7:$A$206,MATCH("6|B|12",'Risk Register'!$R$7:$R$206,0)))</f>
        <v/>
      </c>
      <c r="AE15" s="11" t="str">
        <f>IF(COUNTIF('Risk Register'!$R$7:$R$206,"6|B|13")=0,"",INDEX('Risk Register'!$A$7:$A$206,MATCH("6|B|13",'Risk Register'!$R$7:$R$206,0)))</f>
        <v/>
      </c>
      <c r="AF15" s="11" t="str">
        <f>IF(COUNTIF('Risk Register'!$R$7:$R$206,"6|B|14")=0,"",INDEX('Risk Register'!$A$7:$A$206,MATCH("6|B|14",'Risk Register'!$R$7:$R$206,0)))</f>
        <v/>
      </c>
      <c r="AG15" s="35" t="str">
        <f>IF(COUNTIF('Risk Register'!$R$7:$R$206,"6|B|15")=0,"",INDEX('Risk Register'!$A$7:$A$206,MATCH("6|B|15",'Risk Register'!$R$7:$R$206,0)))</f>
        <v/>
      </c>
      <c r="AH15" s="34" t="str">
        <f>IF(COUNTIF('Risk Register'!$R$7:$R$206,"7|B|11")=0,"",INDEX('Risk Register'!$A$7:$A$206,MATCH("7|B|11",'Risk Register'!$R$7:$R$206,0)))</f>
        <v/>
      </c>
      <c r="AI15" s="11" t="str">
        <f>IF(COUNTIF('Risk Register'!$R$7:$R$206,"7|B|12")=0,"",INDEX('Risk Register'!$A$7:$A$206,MATCH("7|B|12",'Risk Register'!$R$7:$R$206,0)))</f>
        <v/>
      </c>
      <c r="AJ15" s="11" t="str">
        <f>IF(COUNTIF('Risk Register'!$R$7:$R$206,"7|B|13")=0,"",INDEX('Risk Register'!$A$7:$A$206,MATCH("7|B|13",'Risk Register'!$R$7:$R$206,0)))</f>
        <v/>
      </c>
      <c r="AK15" s="11" t="str">
        <f>IF(COUNTIF('Risk Register'!$R$7:$R$206,"7|B|14")=0,"",INDEX('Risk Register'!$A$7:$A$206,MATCH("7|B|14",'Risk Register'!$R$7:$R$206,0)))</f>
        <v/>
      </c>
      <c r="AL15" s="35" t="str">
        <f>IF(COUNTIF('Risk Register'!$R$7:$R$206,"7|B|15")=0,"",INDEX('Risk Register'!$A$7:$A$206,MATCH("7|B|15",'Risk Register'!$R$7:$R$206,0)))</f>
        <v/>
      </c>
      <c r="AM15" s="34" t="str">
        <f>IF(COUNTIF('Risk Register'!$R$7:$R$206,"8|B|11")=0,"",INDEX('Risk Register'!$A$7:$A$206,MATCH("8|B|11",'Risk Register'!$R$7:$R$206,0)))</f>
        <v/>
      </c>
      <c r="AN15" s="11" t="str">
        <f>IF(COUNTIF('Risk Register'!$R$7:$R$206,"8|B|12")=0,"",INDEX('Risk Register'!$A$7:$A$206,MATCH("8|B|12",'Risk Register'!$R$7:$R$206,0)))</f>
        <v/>
      </c>
      <c r="AO15" s="11" t="str">
        <f>IF(COUNTIF('Risk Register'!$R$7:$R$206,"8|B|13")=0,"",INDEX('Risk Register'!$A$7:$A$206,MATCH("8|B|13",'Risk Register'!$R$7:$R$206,0)))</f>
        <v/>
      </c>
      <c r="AP15" s="11" t="str">
        <f>IF(COUNTIF('Risk Register'!$R$7:$R$206,"8|B|14")=0,"",INDEX('Risk Register'!$A$7:$A$206,MATCH("8|B|14",'Risk Register'!$R$7:$R$206,0)))</f>
        <v/>
      </c>
      <c r="AQ15" s="35" t="str">
        <f>IF(COUNTIF('Risk Register'!$R$7:$R$206,"8|B|15")=0,"",INDEX('Risk Register'!$A$7:$A$206,MATCH("8|B|15",'Risk Register'!$R$7:$R$206,0)))</f>
        <v/>
      </c>
      <c r="AS15" s="10">
        <f>IFERROR(INDEX('Risk Register'!$A$7:$A$206,8),"")</f>
        <v>8</v>
      </c>
      <c r="AT15" s="10" t="str">
        <f>IFERROR(INDEX('Risk Register'!$B$7:$B$206,8),"")</f>
        <v>Shock &amp; Vibrations While Drilling</v>
      </c>
    </row>
    <row r="16" spans="1:46" ht="18" customHeight="1">
      <c r="B16" s="56"/>
      <c r="C16" s="58"/>
      <c r="D16" s="16" t="str">
        <f>IF(COUNTIF('Risk Register'!$R$7:$R$206,"1|B|16")=0,"",INDEX('Risk Register'!$A$7:$A$206,MATCH("1|B|16",'Risk Register'!$R$7:$R$206,0)))</f>
        <v/>
      </c>
      <c r="E16" s="12" t="str">
        <f>IF(COUNTIF('Risk Register'!$R$7:$R$206,"1|B|17")=0,"",INDEX('Risk Register'!$A$7:$A$206,MATCH("1|B|17",'Risk Register'!$R$7:$R$206,0)))</f>
        <v/>
      </c>
      <c r="F16" s="12" t="str">
        <f>IF(COUNTIF('Risk Register'!$R$7:$R$206,"1|B|18")=0,"",INDEX('Risk Register'!$A$7:$A$206,MATCH("1|B|18",'Risk Register'!$R$7:$R$206,0)))</f>
        <v/>
      </c>
      <c r="G16" s="12" t="str">
        <f>IF(COUNTIF('Risk Register'!$R$7:$R$206,"1|B|19")=0,"",INDEX('Risk Register'!$A$7:$A$206,MATCH("1|B|19",'Risk Register'!$R$7:$R$206,0)))</f>
        <v/>
      </c>
      <c r="H16" s="17" t="str">
        <f>IF(COUNTIF('Risk Register'!$R$7:$R$206,"1|B|20")=0,"",INDEX('Risk Register'!$A$7:$A$206,MATCH("1|B|20",'Risk Register'!$R$7:$R$206,0)))</f>
        <v/>
      </c>
      <c r="I16" s="16" t="str">
        <f>IF(COUNTIF('Risk Register'!$R$7:$R$206,"2|B|16")=0,"",INDEX('Risk Register'!$A$7:$A$206,MATCH("2|B|16",'Risk Register'!$R$7:$R$206,0)))</f>
        <v/>
      </c>
      <c r="J16" s="12" t="str">
        <f>IF(COUNTIF('Risk Register'!$R$7:$R$206,"2|B|17")=0,"",INDEX('Risk Register'!$A$7:$A$206,MATCH("2|B|17",'Risk Register'!$R$7:$R$206,0)))</f>
        <v/>
      </c>
      <c r="K16" s="12" t="str">
        <f>IF(COUNTIF('Risk Register'!$R$7:$R$206,"2|B|18")=0,"",INDEX('Risk Register'!$A$7:$A$206,MATCH("2|B|18",'Risk Register'!$R$7:$R$206,0)))</f>
        <v/>
      </c>
      <c r="L16" s="12" t="str">
        <f>IF(COUNTIF('Risk Register'!$R$7:$R$206,"2|B|19")=0,"",INDEX('Risk Register'!$A$7:$A$206,MATCH("2|B|19",'Risk Register'!$R$7:$R$206,0)))</f>
        <v/>
      </c>
      <c r="M16" s="17" t="str">
        <f>IF(COUNTIF('Risk Register'!$R$7:$R$206,"2|B|20")=0,"",INDEX('Risk Register'!$A$7:$A$206,MATCH("2|B|20",'Risk Register'!$R$7:$R$206,0)))</f>
        <v/>
      </c>
      <c r="N16" s="34" t="str">
        <f>IF(COUNTIF('Risk Register'!$R$7:$R$206,"3|B|16")=0,"",INDEX('Risk Register'!$A$7:$A$206,MATCH("3|B|16",'Risk Register'!$R$7:$R$206,0)))</f>
        <v/>
      </c>
      <c r="O16" s="11" t="str">
        <f>IF(COUNTIF('Risk Register'!$R$7:$R$206,"3|B|17")=0,"",INDEX('Risk Register'!$A$7:$A$206,MATCH("3|B|17",'Risk Register'!$R$7:$R$206,0)))</f>
        <v/>
      </c>
      <c r="P16" s="11" t="str">
        <f>IF(COUNTIF('Risk Register'!$R$7:$R$206,"3|B|18")=0,"",INDEX('Risk Register'!$A$7:$A$206,MATCH("3|B|18",'Risk Register'!$R$7:$R$206,0)))</f>
        <v/>
      </c>
      <c r="Q16" s="11" t="str">
        <f>IF(COUNTIF('Risk Register'!$R$7:$R$206,"3|B|19")=0,"",INDEX('Risk Register'!$A$7:$A$206,MATCH("3|B|19",'Risk Register'!$R$7:$R$206,0)))</f>
        <v/>
      </c>
      <c r="R16" s="35" t="str">
        <f>IF(COUNTIF('Risk Register'!$R$7:$R$206,"3|B|20")=0,"",INDEX('Risk Register'!$A$7:$A$206,MATCH("3|B|20",'Risk Register'!$R$7:$R$206,0)))</f>
        <v/>
      </c>
      <c r="S16" s="34" t="str">
        <f>IF(COUNTIF('Risk Register'!$R$7:$R$206,"4|B|16")=0,"",INDEX('Risk Register'!$A$7:$A$206,MATCH("4|B|16",'Risk Register'!$R$7:$R$206,0)))</f>
        <v/>
      </c>
      <c r="T16" s="11" t="str">
        <f>IF(COUNTIF('Risk Register'!$R$7:$R$206,"4|B|17")=0,"",INDEX('Risk Register'!$A$7:$A$206,MATCH("4|B|17",'Risk Register'!$R$7:$R$206,0)))</f>
        <v/>
      </c>
      <c r="U16" s="11" t="str">
        <f>IF(COUNTIF('Risk Register'!$R$7:$R$206,"4|B|18")=0,"",INDEX('Risk Register'!$A$7:$A$206,MATCH("4|B|18",'Risk Register'!$R$7:$R$206,0)))</f>
        <v/>
      </c>
      <c r="V16" s="11" t="str">
        <f>IF(COUNTIF('Risk Register'!$R$7:$R$206,"4|B|19")=0,"",INDEX('Risk Register'!$A$7:$A$206,MATCH("4|B|19",'Risk Register'!$R$7:$R$206,0)))</f>
        <v/>
      </c>
      <c r="W16" s="35" t="str">
        <f>IF(COUNTIF('Risk Register'!$R$7:$R$206,"4|B|20")=0,"",INDEX('Risk Register'!$A$7:$A$206,MATCH("4|B|20",'Risk Register'!$R$7:$R$206,0)))</f>
        <v/>
      </c>
      <c r="X16" s="34" t="str">
        <f>IF(COUNTIF('Risk Register'!$R$7:$R$206,"5|B|16")=0,"",INDEX('Risk Register'!$A$7:$A$206,MATCH("5|B|16",'Risk Register'!$R$7:$R$206,0)))</f>
        <v/>
      </c>
      <c r="Y16" s="11" t="str">
        <f>IF(COUNTIF('Risk Register'!$R$7:$R$206,"5|B|17")=0,"",INDEX('Risk Register'!$A$7:$A$206,MATCH("5|B|17",'Risk Register'!$R$7:$R$206,0)))</f>
        <v/>
      </c>
      <c r="Z16" s="11" t="str">
        <f>IF(COUNTIF('Risk Register'!$R$7:$R$206,"5|B|18")=0,"",INDEX('Risk Register'!$A$7:$A$206,MATCH("5|B|18",'Risk Register'!$R$7:$R$206,0)))</f>
        <v/>
      </c>
      <c r="AA16" s="11" t="str">
        <f>IF(COUNTIF('Risk Register'!$R$7:$R$206,"5|B|19")=0,"",INDEX('Risk Register'!$A$7:$A$206,MATCH("5|B|19",'Risk Register'!$R$7:$R$206,0)))</f>
        <v/>
      </c>
      <c r="AB16" s="35" t="str">
        <f>IF(COUNTIF('Risk Register'!$R$7:$R$206,"5|B|20")=0,"",INDEX('Risk Register'!$A$7:$A$206,MATCH("5|B|20",'Risk Register'!$R$7:$R$206,0)))</f>
        <v/>
      </c>
      <c r="AC16" s="34" t="str">
        <f>IF(COUNTIF('Risk Register'!$R$7:$R$206,"6|B|16")=0,"",INDEX('Risk Register'!$A$7:$A$206,MATCH("6|B|16",'Risk Register'!$R$7:$R$206,0)))</f>
        <v/>
      </c>
      <c r="AD16" s="11" t="str">
        <f>IF(COUNTIF('Risk Register'!$R$7:$R$206,"6|B|17")=0,"",INDEX('Risk Register'!$A$7:$A$206,MATCH("6|B|17",'Risk Register'!$R$7:$R$206,0)))</f>
        <v/>
      </c>
      <c r="AE16" s="11" t="str">
        <f>IF(COUNTIF('Risk Register'!$R$7:$R$206,"6|B|18")=0,"",INDEX('Risk Register'!$A$7:$A$206,MATCH("6|B|18",'Risk Register'!$R$7:$R$206,0)))</f>
        <v/>
      </c>
      <c r="AF16" s="11" t="str">
        <f>IF(COUNTIF('Risk Register'!$R$7:$R$206,"6|B|19")=0,"",INDEX('Risk Register'!$A$7:$A$206,MATCH("6|B|19",'Risk Register'!$R$7:$R$206,0)))</f>
        <v/>
      </c>
      <c r="AG16" s="35" t="str">
        <f>IF(COUNTIF('Risk Register'!$R$7:$R$206,"6|B|20")=0,"",INDEX('Risk Register'!$A$7:$A$206,MATCH("6|B|20",'Risk Register'!$R$7:$R$206,0)))</f>
        <v/>
      </c>
      <c r="AH16" s="34" t="str">
        <f>IF(COUNTIF('Risk Register'!$R$7:$R$206,"7|B|16")=0,"",INDEX('Risk Register'!$A$7:$A$206,MATCH("7|B|16",'Risk Register'!$R$7:$R$206,0)))</f>
        <v/>
      </c>
      <c r="AI16" s="11" t="str">
        <f>IF(COUNTIF('Risk Register'!$R$7:$R$206,"7|B|17")=0,"",INDEX('Risk Register'!$A$7:$A$206,MATCH("7|B|17",'Risk Register'!$R$7:$R$206,0)))</f>
        <v/>
      </c>
      <c r="AJ16" s="11" t="str">
        <f>IF(COUNTIF('Risk Register'!$R$7:$R$206,"7|B|18")=0,"",INDEX('Risk Register'!$A$7:$A$206,MATCH("7|B|18",'Risk Register'!$R$7:$R$206,0)))</f>
        <v/>
      </c>
      <c r="AK16" s="11" t="str">
        <f>IF(COUNTIF('Risk Register'!$R$7:$R$206,"7|B|19")=0,"",INDEX('Risk Register'!$A$7:$A$206,MATCH("7|B|19",'Risk Register'!$R$7:$R$206,0)))</f>
        <v/>
      </c>
      <c r="AL16" s="35" t="str">
        <f>IF(COUNTIF('Risk Register'!$R$7:$R$206,"7|B|20")=0,"",INDEX('Risk Register'!$A$7:$A$206,MATCH("7|B|20",'Risk Register'!$R$7:$R$206,0)))</f>
        <v/>
      </c>
      <c r="AM16" s="34" t="str">
        <f>IF(COUNTIF('Risk Register'!$R$7:$R$206,"8|B|16")=0,"",INDEX('Risk Register'!$A$7:$A$206,MATCH("8|B|16",'Risk Register'!$R$7:$R$206,0)))</f>
        <v/>
      </c>
      <c r="AN16" s="11" t="str">
        <f>IF(COUNTIF('Risk Register'!$R$7:$R$206,"8|B|17")=0,"",INDEX('Risk Register'!$A$7:$A$206,MATCH("8|B|17",'Risk Register'!$R$7:$R$206,0)))</f>
        <v/>
      </c>
      <c r="AO16" s="11" t="str">
        <f>IF(COUNTIF('Risk Register'!$R$7:$R$206,"8|B|18")=0,"",INDEX('Risk Register'!$A$7:$A$206,MATCH("8|B|18",'Risk Register'!$R$7:$R$206,0)))</f>
        <v/>
      </c>
      <c r="AP16" s="11" t="str">
        <f>IF(COUNTIF('Risk Register'!$R$7:$R$206,"8|B|19")=0,"",INDEX('Risk Register'!$A$7:$A$206,MATCH("8|B|19",'Risk Register'!$R$7:$R$206,0)))</f>
        <v/>
      </c>
      <c r="AQ16" s="35" t="str">
        <f>IF(COUNTIF('Risk Register'!$R$7:$R$206,"8|B|20")=0,"",INDEX('Risk Register'!$A$7:$A$206,MATCH("8|B|20",'Risk Register'!$R$7:$R$206,0)))</f>
        <v/>
      </c>
      <c r="AS16" s="10">
        <f>IFERROR(INDEX('Risk Register'!$A$7:$A$206,9),"")</f>
        <v>9</v>
      </c>
      <c r="AT16" s="10" t="str">
        <f>IFERROR(INDEX('Risk Register'!$B$7:$B$206,9),"")</f>
        <v>Previous section not TD'ed according to plan, shallow set previous casing</v>
      </c>
    </row>
    <row r="17" spans="2:46" ht="18" customHeight="1">
      <c r="B17" s="56"/>
      <c r="C17" s="58"/>
      <c r="D17" s="18" t="str">
        <f>IF(COUNTIF('Risk Register'!$R$7:$R$206,"1|B|21")=0,"",INDEX('Risk Register'!$A$7:$A$206,MATCH("1|B|21",'Risk Register'!$R$7:$R$206,0)))</f>
        <v/>
      </c>
      <c r="E17" s="19" t="str">
        <f>IF(COUNTIF('Risk Register'!$R$7:$R$206,"1|B|22")=0,"",INDEX('Risk Register'!$A$7:$A$206,MATCH("1|B|22",'Risk Register'!$R$7:$R$206,0)))</f>
        <v/>
      </c>
      <c r="F17" s="19" t="str">
        <f>IF(COUNTIF('Risk Register'!$R$7:$R$206,"1|B|23")=0,"",INDEX('Risk Register'!$A$7:$A$206,MATCH("1|B|23",'Risk Register'!$R$7:$R$206,0)))</f>
        <v/>
      </c>
      <c r="G17" s="19" t="str">
        <f>IF(COUNTIF('Risk Register'!$R$7:$R$206,"1|B|24")=0,"",INDEX('Risk Register'!$A$7:$A$206,MATCH("1|B|24",'Risk Register'!$R$7:$R$206,0)))</f>
        <v/>
      </c>
      <c r="H17" s="20" t="str">
        <f>IF(COUNTIF('Risk Register'!$R$7:$R$206,"1|B|25")=0,"",INDEX('Risk Register'!$A$7:$A$206,MATCH("1|B|25",'Risk Register'!$R$7:$R$206,0)))</f>
        <v/>
      </c>
      <c r="I17" s="18" t="str">
        <f>IF(COUNTIF('Risk Register'!$R$7:$R$206,"2|B|21")=0,"",INDEX('Risk Register'!$A$7:$A$206,MATCH("2|B|21",'Risk Register'!$R$7:$R$206,0)))</f>
        <v/>
      </c>
      <c r="J17" s="19" t="str">
        <f>IF(COUNTIF('Risk Register'!$R$7:$R$206,"2|B|22")=0,"",INDEX('Risk Register'!$A$7:$A$206,MATCH("2|B|22",'Risk Register'!$R$7:$R$206,0)))</f>
        <v/>
      </c>
      <c r="K17" s="19" t="str">
        <f>IF(COUNTIF('Risk Register'!$R$7:$R$206,"2|B|23")=0,"",INDEX('Risk Register'!$A$7:$A$206,MATCH("2|B|23",'Risk Register'!$R$7:$R$206,0)))</f>
        <v/>
      </c>
      <c r="L17" s="19" t="str">
        <f>IF(COUNTIF('Risk Register'!$R$7:$R$206,"2|B|24")=0,"",INDEX('Risk Register'!$A$7:$A$206,MATCH("2|B|24",'Risk Register'!$R$7:$R$206,0)))</f>
        <v/>
      </c>
      <c r="M17" s="20" t="str">
        <f>IF(COUNTIF('Risk Register'!$R$7:$R$206,"2|B|25")=0,"",INDEX('Risk Register'!$A$7:$A$206,MATCH("2|B|25",'Risk Register'!$R$7:$R$206,0)))</f>
        <v/>
      </c>
      <c r="N17" s="36" t="str">
        <f>IF(COUNTIF('Risk Register'!$R$7:$R$206,"3|B|21")=0,"",INDEX('Risk Register'!$A$7:$A$206,MATCH("3|B|21",'Risk Register'!$R$7:$R$206,0)))</f>
        <v/>
      </c>
      <c r="O17" s="37" t="str">
        <f>IF(COUNTIF('Risk Register'!$R$7:$R$206,"3|B|22")=0,"",INDEX('Risk Register'!$A$7:$A$206,MATCH("3|B|22",'Risk Register'!$R$7:$R$206,0)))</f>
        <v/>
      </c>
      <c r="P17" s="37" t="str">
        <f>IF(COUNTIF('Risk Register'!$R$7:$R$206,"3|B|23")=0,"",INDEX('Risk Register'!$A$7:$A$206,MATCH("3|B|23",'Risk Register'!$R$7:$R$206,0)))</f>
        <v/>
      </c>
      <c r="Q17" s="37" t="str">
        <f>IF(COUNTIF('Risk Register'!$R$7:$R$206,"3|B|24")=0,"",INDEX('Risk Register'!$A$7:$A$206,MATCH("3|B|24",'Risk Register'!$R$7:$R$206,0)))</f>
        <v/>
      </c>
      <c r="R17" s="38" t="str">
        <f>IF(COUNTIF('Risk Register'!$R$7:$R$206,"3|B|25")=0,"",INDEX('Risk Register'!$A$7:$A$206,MATCH("3|B|25",'Risk Register'!$R$7:$R$206,0)))</f>
        <v/>
      </c>
      <c r="S17" s="36" t="str">
        <f>IF(COUNTIF('Risk Register'!$R$7:$R$206,"4|B|21")=0,"",INDEX('Risk Register'!$A$7:$A$206,MATCH("4|B|21",'Risk Register'!$R$7:$R$206,0)))</f>
        <v/>
      </c>
      <c r="T17" s="37" t="str">
        <f>IF(COUNTIF('Risk Register'!$R$7:$R$206,"4|B|22")=0,"",INDEX('Risk Register'!$A$7:$A$206,MATCH("4|B|22",'Risk Register'!$R$7:$R$206,0)))</f>
        <v/>
      </c>
      <c r="U17" s="37" t="str">
        <f>IF(COUNTIF('Risk Register'!$R$7:$R$206,"4|B|23")=0,"",INDEX('Risk Register'!$A$7:$A$206,MATCH("4|B|23",'Risk Register'!$R$7:$R$206,0)))</f>
        <v/>
      </c>
      <c r="V17" s="37" t="str">
        <f>IF(COUNTIF('Risk Register'!$R$7:$R$206,"4|B|24")=0,"",INDEX('Risk Register'!$A$7:$A$206,MATCH("4|B|24",'Risk Register'!$R$7:$R$206,0)))</f>
        <v/>
      </c>
      <c r="W17" s="38" t="str">
        <f>IF(COUNTIF('Risk Register'!$R$7:$R$206,"4|B|25")=0,"",INDEX('Risk Register'!$A$7:$A$206,MATCH("4|B|25",'Risk Register'!$R$7:$R$206,0)))</f>
        <v/>
      </c>
      <c r="X17" s="36" t="str">
        <f>IF(COUNTIF('Risk Register'!$R$7:$R$206,"5|B|21")=0,"",INDEX('Risk Register'!$A$7:$A$206,MATCH("5|B|21",'Risk Register'!$R$7:$R$206,0)))</f>
        <v/>
      </c>
      <c r="Y17" s="37" t="str">
        <f>IF(COUNTIF('Risk Register'!$R$7:$R$206,"5|B|22")=0,"",INDEX('Risk Register'!$A$7:$A$206,MATCH("5|B|22",'Risk Register'!$R$7:$R$206,0)))</f>
        <v/>
      </c>
      <c r="Z17" s="37" t="str">
        <f>IF(COUNTIF('Risk Register'!$R$7:$R$206,"5|B|23")=0,"",INDEX('Risk Register'!$A$7:$A$206,MATCH("5|B|23",'Risk Register'!$R$7:$R$206,0)))</f>
        <v/>
      </c>
      <c r="AA17" s="37" t="str">
        <f>IF(COUNTIF('Risk Register'!$R$7:$R$206,"5|B|24")=0,"",INDEX('Risk Register'!$A$7:$A$206,MATCH("5|B|24",'Risk Register'!$R$7:$R$206,0)))</f>
        <v/>
      </c>
      <c r="AB17" s="38" t="str">
        <f>IF(COUNTIF('Risk Register'!$R$7:$R$206,"5|B|25")=0,"",INDEX('Risk Register'!$A$7:$A$206,MATCH("5|B|25",'Risk Register'!$R$7:$R$206,0)))</f>
        <v/>
      </c>
      <c r="AC17" s="36" t="str">
        <f>IF(COUNTIF('Risk Register'!$R$7:$R$206,"6|B|21")=0,"",INDEX('Risk Register'!$A$7:$A$206,MATCH("6|B|21",'Risk Register'!$R$7:$R$206,0)))</f>
        <v/>
      </c>
      <c r="AD17" s="37" t="str">
        <f>IF(COUNTIF('Risk Register'!$R$7:$R$206,"6|B|22")=0,"",INDEX('Risk Register'!$A$7:$A$206,MATCH("6|B|22",'Risk Register'!$R$7:$R$206,0)))</f>
        <v/>
      </c>
      <c r="AE17" s="37" t="str">
        <f>IF(COUNTIF('Risk Register'!$R$7:$R$206,"6|B|23")=0,"",INDEX('Risk Register'!$A$7:$A$206,MATCH("6|B|23",'Risk Register'!$R$7:$R$206,0)))</f>
        <v/>
      </c>
      <c r="AF17" s="37" t="str">
        <f>IF(COUNTIF('Risk Register'!$R$7:$R$206,"6|B|24")=0,"",INDEX('Risk Register'!$A$7:$A$206,MATCH("6|B|24",'Risk Register'!$R$7:$R$206,0)))</f>
        <v/>
      </c>
      <c r="AG17" s="38" t="str">
        <f>IF(COUNTIF('Risk Register'!$R$7:$R$206,"6|B|25")=0,"",INDEX('Risk Register'!$A$7:$A$206,MATCH("6|B|25",'Risk Register'!$R$7:$R$206,0)))</f>
        <v/>
      </c>
      <c r="AH17" s="36" t="str">
        <f>IF(COUNTIF('Risk Register'!$R$7:$R$206,"7|B|21")=0,"",INDEX('Risk Register'!$A$7:$A$206,MATCH("7|B|21",'Risk Register'!$R$7:$R$206,0)))</f>
        <v/>
      </c>
      <c r="AI17" s="37" t="str">
        <f>IF(COUNTIF('Risk Register'!$R$7:$R$206,"7|B|22")=0,"",INDEX('Risk Register'!$A$7:$A$206,MATCH("7|B|22",'Risk Register'!$R$7:$R$206,0)))</f>
        <v/>
      </c>
      <c r="AJ17" s="37" t="str">
        <f>IF(COUNTIF('Risk Register'!$R$7:$R$206,"7|B|23")=0,"",INDEX('Risk Register'!$A$7:$A$206,MATCH("7|B|23",'Risk Register'!$R$7:$R$206,0)))</f>
        <v/>
      </c>
      <c r="AK17" s="37" t="str">
        <f>IF(COUNTIF('Risk Register'!$R$7:$R$206,"7|B|24")=0,"",INDEX('Risk Register'!$A$7:$A$206,MATCH("7|B|24",'Risk Register'!$R$7:$R$206,0)))</f>
        <v/>
      </c>
      <c r="AL17" s="38" t="str">
        <f>IF(COUNTIF('Risk Register'!$R$7:$R$206,"7|B|25")=0,"",INDEX('Risk Register'!$A$7:$A$206,MATCH("7|B|25",'Risk Register'!$R$7:$R$206,0)))</f>
        <v/>
      </c>
      <c r="AM17" s="36" t="str">
        <f>IF(COUNTIF('Risk Register'!$R$7:$R$206,"8|B|21")=0,"",INDEX('Risk Register'!$A$7:$A$206,MATCH("8|B|21",'Risk Register'!$R$7:$R$206,0)))</f>
        <v/>
      </c>
      <c r="AN17" s="37" t="str">
        <f>IF(COUNTIF('Risk Register'!$R$7:$R$206,"8|B|22")=0,"",INDEX('Risk Register'!$A$7:$A$206,MATCH("8|B|22",'Risk Register'!$R$7:$R$206,0)))</f>
        <v/>
      </c>
      <c r="AO17" s="37" t="str">
        <f>IF(COUNTIF('Risk Register'!$R$7:$R$206,"8|B|23")=0,"",INDEX('Risk Register'!$A$7:$A$206,MATCH("8|B|23",'Risk Register'!$R$7:$R$206,0)))</f>
        <v/>
      </c>
      <c r="AP17" s="37" t="str">
        <f>IF(COUNTIF('Risk Register'!$R$7:$R$206,"8|B|24")=0,"",INDEX('Risk Register'!$A$7:$A$206,MATCH("8|B|24",'Risk Register'!$R$7:$R$206,0)))</f>
        <v/>
      </c>
      <c r="AQ17" s="38" t="str">
        <f>IF(COUNTIF('Risk Register'!$R$7:$R$206,"8|B|25")=0,"",INDEX('Risk Register'!$A$7:$A$206,MATCH("8|B|25",'Risk Register'!$R$7:$R$206,0)))</f>
        <v/>
      </c>
      <c r="AS17" s="10">
        <f>IFERROR(INDEX('Risk Register'!$A$7:$A$206,10),"")</f>
        <v>10</v>
      </c>
      <c r="AT17" s="10" t="str">
        <f>IFERROR(INDEX('Risk Register'!$B$7:$B$206,10),"")</f>
        <v>Kick while drilling / Well Control</v>
      </c>
    </row>
    <row r="18" spans="2:46" ht="18" customHeight="1">
      <c r="B18" s="56"/>
      <c r="C18" s="58" t="s">
        <v>30</v>
      </c>
      <c r="D18" s="13" t="str">
        <f>IF(COUNTIF('Risk Register'!$R$7:$R$206,"1|C|1")=0,"",INDEX('Risk Register'!$A$7:$A$206,MATCH("1|C|1",'Risk Register'!$R$7:$R$206,0)))</f>
        <v/>
      </c>
      <c r="E18" s="14" t="str">
        <f>IF(COUNTIF('Risk Register'!$R$7:$R$206,"1|C|2")=0,"",INDEX('Risk Register'!$A$7:$A$206,MATCH("1|C|2",'Risk Register'!$R$7:$R$206,0)))</f>
        <v/>
      </c>
      <c r="F18" s="14" t="str">
        <f>IF(COUNTIF('Risk Register'!$R$7:$R$206,"1|C|3")=0,"",INDEX('Risk Register'!$A$7:$A$206,MATCH("1|C|3",'Risk Register'!$R$7:$R$206,0)))</f>
        <v/>
      </c>
      <c r="G18" s="14" t="str">
        <f>IF(COUNTIF('Risk Register'!$R$7:$R$206,"1|C|4")=0,"",INDEX('Risk Register'!$A$7:$A$206,MATCH("1|C|4",'Risk Register'!$R$7:$R$206,0)))</f>
        <v/>
      </c>
      <c r="H18" s="15" t="str">
        <f>IF(COUNTIF('Risk Register'!$R$7:$R$206,"1|C|5")=0,"",INDEX('Risk Register'!$A$7:$A$206,MATCH("1|C|5",'Risk Register'!$R$7:$R$206,0)))</f>
        <v/>
      </c>
      <c r="I18" s="13">
        <f>IF(COUNTIF('Risk Register'!$R$7:$R$206,"2|C|1")=0,"",INDEX('Risk Register'!$A$7:$A$206,MATCH("2|C|1",'Risk Register'!$R$7:$R$206,0)))</f>
        <v>16</v>
      </c>
      <c r="J18" s="14">
        <f>IF(COUNTIF('Risk Register'!$R$7:$R$206,"2|C|2")=0,"",INDEX('Risk Register'!$A$7:$A$206,MATCH("2|C|2",'Risk Register'!$R$7:$R$206,0)))</f>
        <v>19</v>
      </c>
      <c r="K18" s="14">
        <f>IF(COUNTIF('Risk Register'!$R$7:$R$206,"2|C|3")=0,"",INDEX('Risk Register'!$A$7:$A$206,MATCH("2|C|3",'Risk Register'!$R$7:$R$206,0)))</f>
        <v>24</v>
      </c>
      <c r="L18" s="14" t="str">
        <f>IF(COUNTIF('Risk Register'!$R$7:$R$206,"2|C|4")=0,"",INDEX('Risk Register'!$A$7:$A$206,MATCH("2|C|4",'Risk Register'!$R$7:$R$206,0)))</f>
        <v/>
      </c>
      <c r="M18" s="15" t="str">
        <f>IF(COUNTIF('Risk Register'!$R$7:$R$206,"2|C|5")=0,"",INDEX('Risk Register'!$A$7:$A$206,MATCH("2|C|5",'Risk Register'!$R$7:$R$206,0)))</f>
        <v/>
      </c>
      <c r="N18" s="13" t="str">
        <f>IF(COUNTIF('Risk Register'!$R$7:$R$206,"3|C|1")=0,"",INDEX('Risk Register'!$A$7:$A$206,MATCH("3|C|1",'Risk Register'!$R$7:$R$206,0)))</f>
        <v/>
      </c>
      <c r="O18" s="14" t="str">
        <f>IF(COUNTIF('Risk Register'!$R$7:$R$206,"3|C|2")=0,"",INDEX('Risk Register'!$A$7:$A$206,MATCH("3|C|2",'Risk Register'!$R$7:$R$206,0)))</f>
        <v/>
      </c>
      <c r="P18" s="14" t="str">
        <f>IF(COUNTIF('Risk Register'!$R$7:$R$206,"3|C|3")=0,"",INDEX('Risk Register'!$A$7:$A$206,MATCH("3|C|3",'Risk Register'!$R$7:$R$206,0)))</f>
        <v/>
      </c>
      <c r="Q18" s="14" t="str">
        <f>IF(COUNTIF('Risk Register'!$R$7:$R$206,"3|C|4")=0,"",INDEX('Risk Register'!$A$7:$A$206,MATCH("3|C|4",'Risk Register'!$R$7:$R$206,0)))</f>
        <v/>
      </c>
      <c r="R18" s="15" t="str">
        <f>IF(COUNTIF('Risk Register'!$R$7:$R$206,"3|C|5")=0,"",INDEX('Risk Register'!$A$7:$A$206,MATCH("3|C|5",'Risk Register'!$R$7:$R$206,0)))</f>
        <v/>
      </c>
      <c r="S18" s="31">
        <f>IF(COUNTIF('Risk Register'!$R$7:$R$206,"4|C|1")=0,"",INDEX('Risk Register'!$A$7:$A$206,MATCH("4|C|1",'Risk Register'!$R$7:$R$206,0)))</f>
        <v>10</v>
      </c>
      <c r="T18" s="32">
        <f>IF(COUNTIF('Risk Register'!$R$7:$R$206,"4|C|2")=0,"",INDEX('Risk Register'!$A$7:$A$206,MATCH("4|C|2",'Risk Register'!$R$7:$R$206,0)))</f>
        <v>27</v>
      </c>
      <c r="U18" s="32" t="str">
        <f>IF(COUNTIF('Risk Register'!$R$7:$R$206,"4|C|3")=0,"",INDEX('Risk Register'!$A$7:$A$206,MATCH("4|C|3",'Risk Register'!$R$7:$R$206,0)))</f>
        <v/>
      </c>
      <c r="V18" s="32" t="str">
        <f>IF(COUNTIF('Risk Register'!$R$7:$R$206,"4|C|4")=0,"",INDEX('Risk Register'!$A$7:$A$206,MATCH("4|C|4",'Risk Register'!$R$7:$R$206,0)))</f>
        <v/>
      </c>
      <c r="W18" s="33" t="str">
        <f>IF(COUNTIF('Risk Register'!$R$7:$R$206,"4|C|5")=0,"",INDEX('Risk Register'!$A$7:$A$206,MATCH("4|C|5",'Risk Register'!$R$7:$R$206,0)))</f>
        <v/>
      </c>
      <c r="X18" s="31" t="str">
        <f>IF(COUNTIF('Risk Register'!$R$7:$R$206,"5|C|1")=0,"",INDEX('Risk Register'!$A$7:$A$206,MATCH("5|C|1",'Risk Register'!$R$7:$R$206,0)))</f>
        <v/>
      </c>
      <c r="Y18" s="32" t="str">
        <f>IF(COUNTIF('Risk Register'!$R$7:$R$206,"5|C|2")=0,"",INDEX('Risk Register'!$A$7:$A$206,MATCH("5|C|2",'Risk Register'!$R$7:$R$206,0)))</f>
        <v/>
      </c>
      <c r="Z18" s="32" t="str">
        <f>IF(COUNTIF('Risk Register'!$R$7:$R$206,"5|C|3")=0,"",INDEX('Risk Register'!$A$7:$A$206,MATCH("5|C|3",'Risk Register'!$R$7:$R$206,0)))</f>
        <v/>
      </c>
      <c r="AA18" s="32" t="str">
        <f>IF(COUNTIF('Risk Register'!$R$7:$R$206,"5|C|4")=0,"",INDEX('Risk Register'!$A$7:$A$206,MATCH("5|C|4",'Risk Register'!$R$7:$R$206,0)))</f>
        <v/>
      </c>
      <c r="AB18" s="33" t="str">
        <f>IF(COUNTIF('Risk Register'!$R$7:$R$206,"5|C|5")=0,"",INDEX('Risk Register'!$A$7:$A$206,MATCH("5|C|5",'Risk Register'!$R$7:$R$206,0)))</f>
        <v/>
      </c>
      <c r="AC18" s="31" t="str">
        <f>IF(COUNTIF('Risk Register'!$R$7:$R$206,"6|C|1")=0,"",INDEX('Risk Register'!$A$7:$A$206,MATCH("6|C|1",'Risk Register'!$R$7:$R$206,0)))</f>
        <v/>
      </c>
      <c r="AD18" s="32" t="str">
        <f>IF(COUNTIF('Risk Register'!$R$7:$R$206,"6|C|2")=0,"",INDEX('Risk Register'!$A$7:$A$206,MATCH("6|C|2",'Risk Register'!$R$7:$R$206,0)))</f>
        <v/>
      </c>
      <c r="AE18" s="32" t="str">
        <f>IF(COUNTIF('Risk Register'!$R$7:$R$206,"6|C|3")=0,"",INDEX('Risk Register'!$A$7:$A$206,MATCH("6|C|3",'Risk Register'!$R$7:$R$206,0)))</f>
        <v/>
      </c>
      <c r="AF18" s="32" t="str">
        <f>IF(COUNTIF('Risk Register'!$R$7:$R$206,"6|C|4")=0,"",INDEX('Risk Register'!$A$7:$A$206,MATCH("6|C|4",'Risk Register'!$R$7:$R$206,0)))</f>
        <v/>
      </c>
      <c r="AG18" s="33" t="str">
        <f>IF(COUNTIF('Risk Register'!$R$7:$R$206,"6|C|5")=0,"",INDEX('Risk Register'!$A$7:$A$206,MATCH("6|C|5",'Risk Register'!$R$7:$R$206,0)))</f>
        <v/>
      </c>
      <c r="AH18" s="31" t="str">
        <f>IF(COUNTIF('Risk Register'!$R$7:$R$206,"7|C|1")=0,"",INDEX('Risk Register'!$A$7:$A$206,MATCH("7|C|1",'Risk Register'!$R$7:$R$206,0)))</f>
        <v/>
      </c>
      <c r="AI18" s="32" t="str">
        <f>IF(COUNTIF('Risk Register'!$R$7:$R$206,"7|C|2")=0,"",INDEX('Risk Register'!$A$7:$A$206,MATCH("7|C|2",'Risk Register'!$R$7:$R$206,0)))</f>
        <v/>
      </c>
      <c r="AJ18" s="32" t="str">
        <f>IF(COUNTIF('Risk Register'!$R$7:$R$206,"7|C|3")=0,"",INDEX('Risk Register'!$A$7:$A$206,MATCH("7|C|3",'Risk Register'!$R$7:$R$206,0)))</f>
        <v/>
      </c>
      <c r="AK18" s="32" t="str">
        <f>IF(COUNTIF('Risk Register'!$R$7:$R$206,"7|C|4")=0,"",INDEX('Risk Register'!$A$7:$A$206,MATCH("7|C|4",'Risk Register'!$R$7:$R$206,0)))</f>
        <v/>
      </c>
      <c r="AL18" s="33" t="str">
        <f>IF(COUNTIF('Risk Register'!$R$7:$R$206,"7|C|5")=0,"",INDEX('Risk Register'!$A$7:$A$206,MATCH("7|C|5",'Risk Register'!$R$7:$R$206,0)))</f>
        <v/>
      </c>
      <c r="AM18" s="31" t="str">
        <f>IF(COUNTIF('Risk Register'!$R$7:$R$206,"8|C|1")=0,"",INDEX('Risk Register'!$A$7:$A$206,MATCH("8|C|1",'Risk Register'!$R$7:$R$206,0)))</f>
        <v/>
      </c>
      <c r="AN18" s="32" t="str">
        <f>IF(COUNTIF('Risk Register'!$R$7:$R$206,"8|C|2")=0,"",INDEX('Risk Register'!$A$7:$A$206,MATCH("8|C|2",'Risk Register'!$R$7:$R$206,0)))</f>
        <v/>
      </c>
      <c r="AO18" s="32" t="str">
        <f>IF(COUNTIF('Risk Register'!$R$7:$R$206,"8|C|3")=0,"",INDEX('Risk Register'!$A$7:$A$206,MATCH("8|C|3",'Risk Register'!$R$7:$R$206,0)))</f>
        <v/>
      </c>
      <c r="AP18" s="32" t="str">
        <f>IF(COUNTIF('Risk Register'!$R$7:$R$206,"8|C|4")=0,"",INDEX('Risk Register'!$A$7:$A$206,MATCH("8|C|4",'Risk Register'!$R$7:$R$206,0)))</f>
        <v/>
      </c>
      <c r="AQ18" s="33" t="str">
        <f>IF(COUNTIF('Risk Register'!$R$7:$R$206,"8|C|5")=0,"",INDEX('Risk Register'!$A$7:$A$206,MATCH("8|C|5",'Risk Register'!$R$7:$R$206,0)))</f>
        <v/>
      </c>
      <c r="AS18" s="10">
        <f>IFERROR(INDEX('Risk Register'!$A$7:$A$206,11),"")</f>
        <v>11</v>
      </c>
      <c r="AT18" s="10" t="str">
        <f>IFERROR(INDEX('Risk Register'!$B$7:$B$206,11),"")</f>
        <v>Leaking liner top packer</v>
      </c>
    </row>
    <row r="19" spans="2:46" ht="18" customHeight="1">
      <c r="B19" s="56"/>
      <c r="C19" s="58"/>
      <c r="D19" s="16" t="str">
        <f>IF(COUNTIF('Risk Register'!$R$7:$R$206,"1|C|6")=0,"",INDEX('Risk Register'!$A$7:$A$206,MATCH("1|C|6",'Risk Register'!$R$7:$R$206,0)))</f>
        <v/>
      </c>
      <c r="E19" s="12" t="str">
        <f>IF(COUNTIF('Risk Register'!$R$7:$R$206,"1|C|7")=0,"",INDEX('Risk Register'!$A$7:$A$206,MATCH("1|C|7",'Risk Register'!$R$7:$R$206,0)))</f>
        <v/>
      </c>
      <c r="F19" s="12" t="str">
        <f>IF(COUNTIF('Risk Register'!$R$7:$R$206,"1|C|8")=0,"",INDEX('Risk Register'!$A$7:$A$206,MATCH("1|C|8",'Risk Register'!$R$7:$R$206,0)))</f>
        <v/>
      </c>
      <c r="G19" s="12" t="str">
        <f>IF(COUNTIF('Risk Register'!$R$7:$R$206,"1|C|9")=0,"",INDEX('Risk Register'!$A$7:$A$206,MATCH("1|C|9",'Risk Register'!$R$7:$R$206,0)))</f>
        <v/>
      </c>
      <c r="H19" s="17" t="str">
        <f>IF(COUNTIF('Risk Register'!$R$7:$R$206,"1|C|10")=0,"",INDEX('Risk Register'!$A$7:$A$206,MATCH("1|C|10",'Risk Register'!$R$7:$R$206,0)))</f>
        <v/>
      </c>
      <c r="I19" s="16" t="str">
        <f>IF(COUNTIF('Risk Register'!$R$7:$R$206,"2|C|6")=0,"",INDEX('Risk Register'!$A$7:$A$206,MATCH("2|C|6",'Risk Register'!$R$7:$R$206,0)))</f>
        <v/>
      </c>
      <c r="J19" s="12" t="str">
        <f>IF(COUNTIF('Risk Register'!$R$7:$R$206,"2|C|7")=0,"",INDEX('Risk Register'!$A$7:$A$206,MATCH("2|C|7",'Risk Register'!$R$7:$R$206,0)))</f>
        <v/>
      </c>
      <c r="K19" s="12" t="str">
        <f>IF(COUNTIF('Risk Register'!$R$7:$R$206,"2|C|8")=0,"",INDEX('Risk Register'!$A$7:$A$206,MATCH("2|C|8",'Risk Register'!$R$7:$R$206,0)))</f>
        <v/>
      </c>
      <c r="L19" s="12" t="str">
        <f>IF(COUNTIF('Risk Register'!$R$7:$R$206,"2|C|9")=0,"",INDEX('Risk Register'!$A$7:$A$206,MATCH("2|C|9",'Risk Register'!$R$7:$R$206,0)))</f>
        <v/>
      </c>
      <c r="M19" s="17" t="str">
        <f>IF(COUNTIF('Risk Register'!$R$7:$R$206,"2|C|10")=0,"",INDEX('Risk Register'!$A$7:$A$206,MATCH("2|C|10",'Risk Register'!$R$7:$R$206,0)))</f>
        <v/>
      </c>
      <c r="N19" s="16" t="str">
        <f>IF(COUNTIF('Risk Register'!$R$7:$R$206,"3|C|6")=0,"",INDEX('Risk Register'!$A$7:$A$206,MATCH("3|C|6",'Risk Register'!$R$7:$R$206,0)))</f>
        <v/>
      </c>
      <c r="O19" s="12" t="str">
        <f>IF(COUNTIF('Risk Register'!$R$7:$R$206,"3|C|7")=0,"",INDEX('Risk Register'!$A$7:$A$206,MATCH("3|C|7",'Risk Register'!$R$7:$R$206,0)))</f>
        <v/>
      </c>
      <c r="P19" s="12" t="str">
        <f>IF(COUNTIF('Risk Register'!$R$7:$R$206,"3|C|8")=0,"",INDEX('Risk Register'!$A$7:$A$206,MATCH("3|C|8",'Risk Register'!$R$7:$R$206,0)))</f>
        <v/>
      </c>
      <c r="Q19" s="12" t="str">
        <f>IF(COUNTIF('Risk Register'!$R$7:$R$206,"3|C|9")=0,"",INDEX('Risk Register'!$A$7:$A$206,MATCH("3|C|9",'Risk Register'!$R$7:$R$206,0)))</f>
        <v/>
      </c>
      <c r="R19" s="17" t="str">
        <f>IF(COUNTIF('Risk Register'!$R$7:$R$206,"3|C|10")=0,"",INDEX('Risk Register'!$A$7:$A$206,MATCH("3|C|10",'Risk Register'!$R$7:$R$206,0)))</f>
        <v/>
      </c>
      <c r="S19" s="34" t="str">
        <f>IF(COUNTIF('Risk Register'!$R$7:$R$206,"4|C|6")=0,"",INDEX('Risk Register'!$A$7:$A$206,MATCH("4|C|6",'Risk Register'!$R$7:$R$206,0)))</f>
        <v/>
      </c>
      <c r="T19" s="11" t="str">
        <f>IF(COUNTIF('Risk Register'!$R$7:$R$206,"4|C|7")=0,"",INDEX('Risk Register'!$A$7:$A$206,MATCH("4|C|7",'Risk Register'!$R$7:$R$206,0)))</f>
        <v/>
      </c>
      <c r="U19" s="11" t="str">
        <f>IF(COUNTIF('Risk Register'!$R$7:$R$206,"4|C|8")=0,"",INDEX('Risk Register'!$A$7:$A$206,MATCH("4|C|8",'Risk Register'!$R$7:$R$206,0)))</f>
        <v/>
      </c>
      <c r="V19" s="11" t="str">
        <f>IF(COUNTIF('Risk Register'!$R$7:$R$206,"4|C|9")=0,"",INDEX('Risk Register'!$A$7:$A$206,MATCH("4|C|9",'Risk Register'!$R$7:$R$206,0)))</f>
        <v/>
      </c>
      <c r="W19" s="35" t="str">
        <f>IF(COUNTIF('Risk Register'!$R$7:$R$206,"4|C|10")=0,"",INDEX('Risk Register'!$A$7:$A$206,MATCH("4|C|10",'Risk Register'!$R$7:$R$206,0)))</f>
        <v/>
      </c>
      <c r="X19" s="34" t="str">
        <f>IF(COUNTIF('Risk Register'!$R$7:$R$206,"5|C|6")=0,"",INDEX('Risk Register'!$A$7:$A$206,MATCH("5|C|6",'Risk Register'!$R$7:$R$206,0)))</f>
        <v/>
      </c>
      <c r="Y19" s="11" t="str">
        <f>IF(COUNTIF('Risk Register'!$R$7:$R$206,"5|C|7")=0,"",INDEX('Risk Register'!$A$7:$A$206,MATCH("5|C|7",'Risk Register'!$R$7:$R$206,0)))</f>
        <v/>
      </c>
      <c r="Z19" s="11" t="str">
        <f>IF(COUNTIF('Risk Register'!$R$7:$R$206,"5|C|8")=0,"",INDEX('Risk Register'!$A$7:$A$206,MATCH("5|C|8",'Risk Register'!$R$7:$R$206,0)))</f>
        <v/>
      </c>
      <c r="AA19" s="11" t="str">
        <f>IF(COUNTIF('Risk Register'!$R$7:$R$206,"5|C|9")=0,"",INDEX('Risk Register'!$A$7:$A$206,MATCH("5|C|9",'Risk Register'!$R$7:$R$206,0)))</f>
        <v/>
      </c>
      <c r="AB19" s="35" t="str">
        <f>IF(COUNTIF('Risk Register'!$R$7:$R$206,"5|C|10")=0,"",INDEX('Risk Register'!$A$7:$A$206,MATCH("5|C|10",'Risk Register'!$R$7:$R$206,0)))</f>
        <v/>
      </c>
      <c r="AC19" s="34" t="str">
        <f>IF(COUNTIF('Risk Register'!$R$7:$R$206,"6|C|6")=0,"",INDEX('Risk Register'!$A$7:$A$206,MATCH("6|C|6",'Risk Register'!$R$7:$R$206,0)))</f>
        <v/>
      </c>
      <c r="AD19" s="11" t="str">
        <f>IF(COUNTIF('Risk Register'!$R$7:$R$206,"6|C|7")=0,"",INDEX('Risk Register'!$A$7:$A$206,MATCH("6|C|7",'Risk Register'!$R$7:$R$206,0)))</f>
        <v/>
      </c>
      <c r="AE19" s="11" t="str">
        <f>IF(COUNTIF('Risk Register'!$R$7:$R$206,"6|C|8")=0,"",INDEX('Risk Register'!$A$7:$A$206,MATCH("6|C|8",'Risk Register'!$R$7:$R$206,0)))</f>
        <v/>
      </c>
      <c r="AF19" s="11" t="str">
        <f>IF(COUNTIF('Risk Register'!$R$7:$R$206,"6|C|9")=0,"",INDEX('Risk Register'!$A$7:$A$206,MATCH("6|C|9",'Risk Register'!$R$7:$R$206,0)))</f>
        <v/>
      </c>
      <c r="AG19" s="35" t="str">
        <f>IF(COUNTIF('Risk Register'!$R$7:$R$206,"6|C|10")=0,"",INDEX('Risk Register'!$A$7:$A$206,MATCH("6|C|10",'Risk Register'!$R$7:$R$206,0)))</f>
        <v/>
      </c>
      <c r="AH19" s="34" t="str">
        <f>IF(COUNTIF('Risk Register'!$R$7:$R$206,"7|C|6")=0,"",INDEX('Risk Register'!$A$7:$A$206,MATCH("7|C|6",'Risk Register'!$R$7:$R$206,0)))</f>
        <v/>
      </c>
      <c r="AI19" s="11" t="str">
        <f>IF(COUNTIF('Risk Register'!$R$7:$R$206,"7|C|7")=0,"",INDEX('Risk Register'!$A$7:$A$206,MATCH("7|C|7",'Risk Register'!$R$7:$R$206,0)))</f>
        <v/>
      </c>
      <c r="AJ19" s="11" t="str">
        <f>IF(COUNTIF('Risk Register'!$R$7:$R$206,"7|C|8")=0,"",INDEX('Risk Register'!$A$7:$A$206,MATCH("7|C|8",'Risk Register'!$R$7:$R$206,0)))</f>
        <v/>
      </c>
      <c r="AK19" s="11" t="str">
        <f>IF(COUNTIF('Risk Register'!$R$7:$R$206,"7|C|9")=0,"",INDEX('Risk Register'!$A$7:$A$206,MATCH("7|C|9",'Risk Register'!$R$7:$R$206,0)))</f>
        <v/>
      </c>
      <c r="AL19" s="35" t="str">
        <f>IF(COUNTIF('Risk Register'!$R$7:$R$206,"7|C|10")=0,"",INDEX('Risk Register'!$A$7:$A$206,MATCH("7|C|10",'Risk Register'!$R$7:$R$206,0)))</f>
        <v/>
      </c>
      <c r="AM19" s="34" t="str">
        <f>IF(COUNTIF('Risk Register'!$R$7:$R$206,"8|C|6")=0,"",INDEX('Risk Register'!$A$7:$A$206,MATCH("8|C|6",'Risk Register'!$R$7:$R$206,0)))</f>
        <v/>
      </c>
      <c r="AN19" s="11" t="str">
        <f>IF(COUNTIF('Risk Register'!$R$7:$R$206,"8|C|7")=0,"",INDEX('Risk Register'!$A$7:$A$206,MATCH("8|C|7",'Risk Register'!$R$7:$R$206,0)))</f>
        <v/>
      </c>
      <c r="AO19" s="11" t="str">
        <f>IF(COUNTIF('Risk Register'!$R$7:$R$206,"8|C|8")=0,"",INDEX('Risk Register'!$A$7:$A$206,MATCH("8|C|8",'Risk Register'!$R$7:$R$206,0)))</f>
        <v/>
      </c>
      <c r="AP19" s="11" t="str">
        <f>IF(COUNTIF('Risk Register'!$R$7:$R$206,"8|C|9")=0,"",INDEX('Risk Register'!$A$7:$A$206,MATCH("8|C|9",'Risk Register'!$R$7:$R$206,0)))</f>
        <v/>
      </c>
      <c r="AQ19" s="35" t="str">
        <f>IF(COUNTIF('Risk Register'!$R$7:$R$206,"8|C|10")=0,"",INDEX('Risk Register'!$A$7:$A$206,MATCH("8|C|10",'Risk Register'!$R$7:$R$206,0)))</f>
        <v/>
      </c>
      <c r="AS19" s="10">
        <f>IFERROR(INDEX('Risk Register'!$A$7:$A$206,12),"")</f>
        <v>12</v>
      </c>
      <c r="AT19" s="10" t="str">
        <f>IFERROR(INDEX('Risk Register'!$B$7:$B$206,12),"")</f>
        <v>Total losses (i.e no returns)</v>
      </c>
    </row>
    <row r="20" spans="2:46" ht="18" customHeight="1">
      <c r="B20" s="56"/>
      <c r="C20" s="58"/>
      <c r="D20" s="16" t="str">
        <f>IF(COUNTIF('Risk Register'!$R$7:$R$206,"1|C|11")=0,"",INDEX('Risk Register'!$A$7:$A$206,MATCH("1|C|11",'Risk Register'!$R$7:$R$206,0)))</f>
        <v/>
      </c>
      <c r="E20" s="12" t="str">
        <f>IF(COUNTIF('Risk Register'!$R$7:$R$206,"1|C|12")=0,"",INDEX('Risk Register'!$A$7:$A$206,MATCH("1|C|12",'Risk Register'!$R$7:$R$206,0)))</f>
        <v/>
      </c>
      <c r="F20" s="12" t="str">
        <f>IF(COUNTIF('Risk Register'!$R$7:$R$206,"1|C|13")=0,"",INDEX('Risk Register'!$A$7:$A$206,MATCH("1|C|13",'Risk Register'!$R$7:$R$206,0)))</f>
        <v/>
      </c>
      <c r="G20" s="12" t="str">
        <f>IF(COUNTIF('Risk Register'!$R$7:$R$206,"1|C|14")=0,"",INDEX('Risk Register'!$A$7:$A$206,MATCH("1|C|14",'Risk Register'!$R$7:$R$206,0)))</f>
        <v/>
      </c>
      <c r="H20" s="17" t="str">
        <f>IF(COUNTIF('Risk Register'!$R$7:$R$206,"1|C|15")=0,"",INDEX('Risk Register'!$A$7:$A$206,MATCH("1|C|15",'Risk Register'!$R$7:$R$206,0)))</f>
        <v/>
      </c>
      <c r="I20" s="16" t="str">
        <f>IF(COUNTIF('Risk Register'!$R$7:$R$206,"2|C|11")=0,"",INDEX('Risk Register'!$A$7:$A$206,MATCH("2|C|11",'Risk Register'!$R$7:$R$206,0)))</f>
        <v/>
      </c>
      <c r="J20" s="12" t="str">
        <f>IF(COUNTIF('Risk Register'!$R$7:$R$206,"2|C|12")=0,"",INDEX('Risk Register'!$A$7:$A$206,MATCH("2|C|12",'Risk Register'!$R$7:$R$206,0)))</f>
        <v/>
      </c>
      <c r="K20" s="12" t="str">
        <f>IF(COUNTIF('Risk Register'!$R$7:$R$206,"2|C|13")=0,"",INDEX('Risk Register'!$A$7:$A$206,MATCH("2|C|13",'Risk Register'!$R$7:$R$206,0)))</f>
        <v/>
      </c>
      <c r="L20" s="12" t="str">
        <f>IF(COUNTIF('Risk Register'!$R$7:$R$206,"2|C|14")=0,"",INDEX('Risk Register'!$A$7:$A$206,MATCH("2|C|14",'Risk Register'!$R$7:$R$206,0)))</f>
        <v/>
      </c>
      <c r="M20" s="17" t="str">
        <f>IF(COUNTIF('Risk Register'!$R$7:$R$206,"2|C|15")=0,"",INDEX('Risk Register'!$A$7:$A$206,MATCH("2|C|15",'Risk Register'!$R$7:$R$206,0)))</f>
        <v/>
      </c>
      <c r="N20" s="16" t="str">
        <f>IF(COUNTIF('Risk Register'!$R$7:$R$206,"3|C|11")=0,"",INDEX('Risk Register'!$A$7:$A$206,MATCH("3|C|11",'Risk Register'!$R$7:$R$206,0)))</f>
        <v/>
      </c>
      <c r="O20" s="12" t="str">
        <f>IF(COUNTIF('Risk Register'!$R$7:$R$206,"3|C|12")=0,"",INDEX('Risk Register'!$A$7:$A$206,MATCH("3|C|12",'Risk Register'!$R$7:$R$206,0)))</f>
        <v/>
      </c>
      <c r="P20" s="12" t="str">
        <f>IF(COUNTIF('Risk Register'!$R$7:$R$206,"3|C|13")=0,"",INDEX('Risk Register'!$A$7:$A$206,MATCH("3|C|13",'Risk Register'!$R$7:$R$206,0)))</f>
        <v/>
      </c>
      <c r="Q20" s="12" t="str">
        <f>IF(COUNTIF('Risk Register'!$R$7:$R$206,"3|C|14")=0,"",INDEX('Risk Register'!$A$7:$A$206,MATCH("3|C|14",'Risk Register'!$R$7:$R$206,0)))</f>
        <v/>
      </c>
      <c r="R20" s="17" t="str">
        <f>IF(COUNTIF('Risk Register'!$R$7:$R$206,"3|C|15")=0,"",INDEX('Risk Register'!$A$7:$A$206,MATCH("3|C|15",'Risk Register'!$R$7:$R$206,0)))</f>
        <v/>
      </c>
      <c r="S20" s="34" t="str">
        <f>IF(COUNTIF('Risk Register'!$R$7:$R$206,"4|C|11")=0,"",INDEX('Risk Register'!$A$7:$A$206,MATCH("4|C|11",'Risk Register'!$R$7:$R$206,0)))</f>
        <v/>
      </c>
      <c r="T20" s="11" t="str">
        <f>IF(COUNTIF('Risk Register'!$R$7:$R$206,"4|C|12")=0,"",INDEX('Risk Register'!$A$7:$A$206,MATCH("4|C|12",'Risk Register'!$R$7:$R$206,0)))</f>
        <v/>
      </c>
      <c r="U20" s="11" t="str">
        <f>IF(COUNTIF('Risk Register'!$R$7:$R$206,"4|C|13")=0,"",INDEX('Risk Register'!$A$7:$A$206,MATCH("4|C|13",'Risk Register'!$R$7:$R$206,0)))</f>
        <v/>
      </c>
      <c r="V20" s="11" t="str">
        <f>IF(COUNTIF('Risk Register'!$R$7:$R$206,"4|C|14")=0,"",INDEX('Risk Register'!$A$7:$A$206,MATCH("4|C|14",'Risk Register'!$R$7:$R$206,0)))</f>
        <v/>
      </c>
      <c r="W20" s="35" t="str">
        <f>IF(COUNTIF('Risk Register'!$R$7:$R$206,"4|C|15")=0,"",INDEX('Risk Register'!$A$7:$A$206,MATCH("4|C|15",'Risk Register'!$R$7:$R$206,0)))</f>
        <v/>
      </c>
      <c r="X20" s="34" t="str">
        <f>IF(COUNTIF('Risk Register'!$R$7:$R$206,"5|C|11")=0,"",INDEX('Risk Register'!$A$7:$A$206,MATCH("5|C|11",'Risk Register'!$R$7:$R$206,0)))</f>
        <v/>
      </c>
      <c r="Y20" s="11" t="str">
        <f>IF(COUNTIF('Risk Register'!$R$7:$R$206,"5|C|12")=0,"",INDEX('Risk Register'!$A$7:$A$206,MATCH("5|C|12",'Risk Register'!$R$7:$R$206,0)))</f>
        <v/>
      </c>
      <c r="Z20" s="11" t="str">
        <f>IF(COUNTIF('Risk Register'!$R$7:$R$206,"5|C|13")=0,"",INDEX('Risk Register'!$A$7:$A$206,MATCH("5|C|13",'Risk Register'!$R$7:$R$206,0)))</f>
        <v/>
      </c>
      <c r="AA20" s="11" t="str">
        <f>IF(COUNTIF('Risk Register'!$R$7:$R$206,"5|C|14")=0,"",INDEX('Risk Register'!$A$7:$A$206,MATCH("5|C|14",'Risk Register'!$R$7:$R$206,0)))</f>
        <v/>
      </c>
      <c r="AB20" s="35" t="str">
        <f>IF(COUNTIF('Risk Register'!$R$7:$R$206,"5|C|15")=0,"",INDEX('Risk Register'!$A$7:$A$206,MATCH("5|C|15",'Risk Register'!$R$7:$R$206,0)))</f>
        <v/>
      </c>
      <c r="AC20" s="34" t="str">
        <f>IF(COUNTIF('Risk Register'!$R$7:$R$206,"6|C|11")=0,"",INDEX('Risk Register'!$A$7:$A$206,MATCH("6|C|11",'Risk Register'!$R$7:$R$206,0)))</f>
        <v/>
      </c>
      <c r="AD20" s="11" t="str">
        <f>IF(COUNTIF('Risk Register'!$R$7:$R$206,"6|C|12")=0,"",INDEX('Risk Register'!$A$7:$A$206,MATCH("6|C|12",'Risk Register'!$R$7:$R$206,0)))</f>
        <v/>
      </c>
      <c r="AE20" s="11" t="str">
        <f>IF(COUNTIF('Risk Register'!$R$7:$R$206,"6|C|13")=0,"",INDEX('Risk Register'!$A$7:$A$206,MATCH("6|C|13",'Risk Register'!$R$7:$R$206,0)))</f>
        <v/>
      </c>
      <c r="AF20" s="11" t="str">
        <f>IF(COUNTIF('Risk Register'!$R$7:$R$206,"6|C|14")=0,"",INDEX('Risk Register'!$A$7:$A$206,MATCH("6|C|14",'Risk Register'!$R$7:$R$206,0)))</f>
        <v/>
      </c>
      <c r="AG20" s="35" t="str">
        <f>IF(COUNTIF('Risk Register'!$R$7:$R$206,"6|C|15")=0,"",INDEX('Risk Register'!$A$7:$A$206,MATCH("6|C|15",'Risk Register'!$R$7:$R$206,0)))</f>
        <v/>
      </c>
      <c r="AH20" s="34" t="str">
        <f>IF(COUNTIF('Risk Register'!$R$7:$R$206,"7|C|11")=0,"",INDEX('Risk Register'!$A$7:$A$206,MATCH("7|C|11",'Risk Register'!$R$7:$R$206,0)))</f>
        <v/>
      </c>
      <c r="AI20" s="11" t="str">
        <f>IF(COUNTIF('Risk Register'!$R$7:$R$206,"7|C|12")=0,"",INDEX('Risk Register'!$A$7:$A$206,MATCH("7|C|12",'Risk Register'!$R$7:$R$206,0)))</f>
        <v/>
      </c>
      <c r="AJ20" s="11" t="str">
        <f>IF(COUNTIF('Risk Register'!$R$7:$R$206,"7|C|13")=0,"",INDEX('Risk Register'!$A$7:$A$206,MATCH("7|C|13",'Risk Register'!$R$7:$R$206,0)))</f>
        <v/>
      </c>
      <c r="AK20" s="11" t="str">
        <f>IF(COUNTIF('Risk Register'!$R$7:$R$206,"7|C|14")=0,"",INDEX('Risk Register'!$A$7:$A$206,MATCH("7|C|14",'Risk Register'!$R$7:$R$206,0)))</f>
        <v/>
      </c>
      <c r="AL20" s="35" t="str">
        <f>IF(COUNTIF('Risk Register'!$R$7:$R$206,"7|C|15")=0,"",INDEX('Risk Register'!$A$7:$A$206,MATCH("7|C|15",'Risk Register'!$R$7:$R$206,0)))</f>
        <v/>
      </c>
      <c r="AM20" s="34" t="str">
        <f>IF(COUNTIF('Risk Register'!$R$7:$R$206,"8|C|11")=0,"",INDEX('Risk Register'!$A$7:$A$206,MATCH("8|C|11",'Risk Register'!$R$7:$R$206,0)))</f>
        <v/>
      </c>
      <c r="AN20" s="11" t="str">
        <f>IF(COUNTIF('Risk Register'!$R$7:$R$206,"8|C|12")=0,"",INDEX('Risk Register'!$A$7:$A$206,MATCH("8|C|12",'Risk Register'!$R$7:$R$206,0)))</f>
        <v/>
      </c>
      <c r="AO20" s="11" t="str">
        <f>IF(COUNTIF('Risk Register'!$R$7:$R$206,"8|C|13")=0,"",INDEX('Risk Register'!$A$7:$A$206,MATCH("8|C|13",'Risk Register'!$R$7:$R$206,0)))</f>
        <v/>
      </c>
      <c r="AP20" s="11" t="str">
        <f>IF(COUNTIF('Risk Register'!$R$7:$R$206,"8|C|14")=0,"",INDEX('Risk Register'!$A$7:$A$206,MATCH("8|C|14",'Risk Register'!$R$7:$R$206,0)))</f>
        <v/>
      </c>
      <c r="AQ20" s="35" t="str">
        <f>IF(COUNTIF('Risk Register'!$R$7:$R$206,"8|C|15")=0,"",INDEX('Risk Register'!$A$7:$A$206,MATCH("8|C|15",'Risk Register'!$R$7:$R$206,0)))</f>
        <v/>
      </c>
      <c r="AS20" s="10">
        <f>IFERROR(INDEX('Risk Register'!$A$7:$A$206,13),"")</f>
        <v>13</v>
      </c>
      <c r="AT20" s="10" t="str">
        <f>IFERROR(INDEX('Risk Register'!$B$7:$B$206,13),"")</f>
        <v>Insufficient FIT</v>
      </c>
    </row>
    <row r="21" spans="2:46" ht="18" customHeight="1">
      <c r="B21" s="56"/>
      <c r="C21" s="58"/>
      <c r="D21" s="16" t="str">
        <f>IF(COUNTIF('Risk Register'!$R$7:$R$206,"1|C|16")=0,"",INDEX('Risk Register'!$A$7:$A$206,MATCH("1|C|16",'Risk Register'!$R$7:$R$206,0)))</f>
        <v/>
      </c>
      <c r="E21" s="12" t="str">
        <f>IF(COUNTIF('Risk Register'!$R$7:$R$206,"1|C|17")=0,"",INDEX('Risk Register'!$A$7:$A$206,MATCH("1|C|17",'Risk Register'!$R$7:$R$206,0)))</f>
        <v/>
      </c>
      <c r="F21" s="12" t="str">
        <f>IF(COUNTIF('Risk Register'!$R$7:$R$206,"1|C|18")=0,"",INDEX('Risk Register'!$A$7:$A$206,MATCH("1|C|18",'Risk Register'!$R$7:$R$206,0)))</f>
        <v/>
      </c>
      <c r="G21" s="12" t="str">
        <f>IF(COUNTIF('Risk Register'!$R$7:$R$206,"1|C|19")=0,"",INDEX('Risk Register'!$A$7:$A$206,MATCH("1|C|19",'Risk Register'!$R$7:$R$206,0)))</f>
        <v/>
      </c>
      <c r="H21" s="17" t="str">
        <f>IF(COUNTIF('Risk Register'!$R$7:$R$206,"1|C|20")=0,"",INDEX('Risk Register'!$A$7:$A$206,MATCH("1|C|20",'Risk Register'!$R$7:$R$206,0)))</f>
        <v/>
      </c>
      <c r="I21" s="16" t="str">
        <f>IF(COUNTIF('Risk Register'!$R$7:$R$206,"2|C|16")=0,"",INDEX('Risk Register'!$A$7:$A$206,MATCH("2|C|16",'Risk Register'!$R$7:$R$206,0)))</f>
        <v/>
      </c>
      <c r="J21" s="12" t="str">
        <f>IF(COUNTIF('Risk Register'!$R$7:$R$206,"2|C|17")=0,"",INDEX('Risk Register'!$A$7:$A$206,MATCH("2|C|17",'Risk Register'!$R$7:$R$206,0)))</f>
        <v/>
      </c>
      <c r="K21" s="12" t="str">
        <f>IF(COUNTIF('Risk Register'!$R$7:$R$206,"2|C|18")=0,"",INDEX('Risk Register'!$A$7:$A$206,MATCH("2|C|18",'Risk Register'!$R$7:$R$206,0)))</f>
        <v/>
      </c>
      <c r="L21" s="12" t="str">
        <f>IF(COUNTIF('Risk Register'!$R$7:$R$206,"2|C|19")=0,"",INDEX('Risk Register'!$A$7:$A$206,MATCH("2|C|19",'Risk Register'!$R$7:$R$206,0)))</f>
        <v/>
      </c>
      <c r="M21" s="17" t="str">
        <f>IF(COUNTIF('Risk Register'!$R$7:$R$206,"2|C|20")=0,"",INDEX('Risk Register'!$A$7:$A$206,MATCH("2|C|20",'Risk Register'!$R$7:$R$206,0)))</f>
        <v/>
      </c>
      <c r="N21" s="16" t="str">
        <f>IF(COUNTIF('Risk Register'!$R$7:$R$206,"3|C|16")=0,"",INDEX('Risk Register'!$A$7:$A$206,MATCH("3|C|16",'Risk Register'!$R$7:$R$206,0)))</f>
        <v/>
      </c>
      <c r="O21" s="12" t="str">
        <f>IF(COUNTIF('Risk Register'!$R$7:$R$206,"3|C|17")=0,"",INDEX('Risk Register'!$A$7:$A$206,MATCH("3|C|17",'Risk Register'!$R$7:$R$206,0)))</f>
        <v/>
      </c>
      <c r="P21" s="12" t="str">
        <f>IF(COUNTIF('Risk Register'!$R$7:$R$206,"3|C|18")=0,"",INDEX('Risk Register'!$A$7:$A$206,MATCH("3|C|18",'Risk Register'!$R$7:$R$206,0)))</f>
        <v/>
      </c>
      <c r="Q21" s="12" t="str">
        <f>IF(COUNTIF('Risk Register'!$R$7:$R$206,"3|C|19")=0,"",INDEX('Risk Register'!$A$7:$A$206,MATCH("3|C|19",'Risk Register'!$R$7:$R$206,0)))</f>
        <v/>
      </c>
      <c r="R21" s="17" t="str">
        <f>IF(COUNTIF('Risk Register'!$R$7:$R$206,"3|C|20")=0,"",INDEX('Risk Register'!$A$7:$A$206,MATCH("3|C|20",'Risk Register'!$R$7:$R$206,0)))</f>
        <v/>
      </c>
      <c r="S21" s="34" t="str">
        <f>IF(COUNTIF('Risk Register'!$R$7:$R$206,"4|C|16")=0,"",INDEX('Risk Register'!$A$7:$A$206,MATCH("4|C|16",'Risk Register'!$R$7:$R$206,0)))</f>
        <v/>
      </c>
      <c r="T21" s="11" t="str">
        <f>IF(COUNTIF('Risk Register'!$R$7:$R$206,"4|C|17")=0,"",INDEX('Risk Register'!$A$7:$A$206,MATCH("4|C|17",'Risk Register'!$R$7:$R$206,0)))</f>
        <v/>
      </c>
      <c r="U21" s="11" t="str">
        <f>IF(COUNTIF('Risk Register'!$R$7:$R$206,"4|C|18")=0,"",INDEX('Risk Register'!$A$7:$A$206,MATCH("4|C|18",'Risk Register'!$R$7:$R$206,0)))</f>
        <v/>
      </c>
      <c r="V21" s="11" t="str">
        <f>IF(COUNTIF('Risk Register'!$R$7:$R$206,"4|C|19")=0,"",INDEX('Risk Register'!$A$7:$A$206,MATCH("4|C|19",'Risk Register'!$R$7:$R$206,0)))</f>
        <v/>
      </c>
      <c r="W21" s="35" t="str">
        <f>IF(COUNTIF('Risk Register'!$R$7:$R$206,"4|C|20")=0,"",INDEX('Risk Register'!$A$7:$A$206,MATCH("4|C|20",'Risk Register'!$R$7:$R$206,0)))</f>
        <v/>
      </c>
      <c r="X21" s="34" t="str">
        <f>IF(COUNTIF('Risk Register'!$R$7:$R$206,"5|C|16")=0,"",INDEX('Risk Register'!$A$7:$A$206,MATCH("5|C|16",'Risk Register'!$R$7:$R$206,0)))</f>
        <v/>
      </c>
      <c r="Y21" s="11" t="str">
        <f>IF(COUNTIF('Risk Register'!$R$7:$R$206,"5|C|17")=0,"",INDEX('Risk Register'!$A$7:$A$206,MATCH("5|C|17",'Risk Register'!$R$7:$R$206,0)))</f>
        <v/>
      </c>
      <c r="Z21" s="11" t="str">
        <f>IF(COUNTIF('Risk Register'!$R$7:$R$206,"5|C|18")=0,"",INDEX('Risk Register'!$A$7:$A$206,MATCH("5|C|18",'Risk Register'!$R$7:$R$206,0)))</f>
        <v/>
      </c>
      <c r="AA21" s="11" t="str">
        <f>IF(COUNTIF('Risk Register'!$R$7:$R$206,"5|C|19")=0,"",INDEX('Risk Register'!$A$7:$A$206,MATCH("5|C|19",'Risk Register'!$R$7:$R$206,0)))</f>
        <v/>
      </c>
      <c r="AB21" s="35" t="str">
        <f>IF(COUNTIF('Risk Register'!$R$7:$R$206,"5|C|20")=0,"",INDEX('Risk Register'!$A$7:$A$206,MATCH("5|C|20",'Risk Register'!$R$7:$R$206,0)))</f>
        <v/>
      </c>
      <c r="AC21" s="34" t="str">
        <f>IF(COUNTIF('Risk Register'!$R$7:$R$206,"6|C|16")=0,"",INDEX('Risk Register'!$A$7:$A$206,MATCH("6|C|16",'Risk Register'!$R$7:$R$206,0)))</f>
        <v/>
      </c>
      <c r="AD21" s="11" t="str">
        <f>IF(COUNTIF('Risk Register'!$R$7:$R$206,"6|C|17")=0,"",INDEX('Risk Register'!$A$7:$A$206,MATCH("6|C|17",'Risk Register'!$R$7:$R$206,0)))</f>
        <v/>
      </c>
      <c r="AE21" s="11" t="str">
        <f>IF(COUNTIF('Risk Register'!$R$7:$R$206,"6|C|18")=0,"",INDEX('Risk Register'!$A$7:$A$206,MATCH("6|C|18",'Risk Register'!$R$7:$R$206,0)))</f>
        <v/>
      </c>
      <c r="AF21" s="11" t="str">
        <f>IF(COUNTIF('Risk Register'!$R$7:$R$206,"6|C|19")=0,"",INDEX('Risk Register'!$A$7:$A$206,MATCH("6|C|19",'Risk Register'!$R$7:$R$206,0)))</f>
        <v/>
      </c>
      <c r="AG21" s="35" t="str">
        <f>IF(COUNTIF('Risk Register'!$R$7:$R$206,"6|C|20")=0,"",INDEX('Risk Register'!$A$7:$A$206,MATCH("6|C|20",'Risk Register'!$R$7:$R$206,0)))</f>
        <v/>
      </c>
      <c r="AH21" s="34" t="str">
        <f>IF(COUNTIF('Risk Register'!$R$7:$R$206,"7|C|16")=0,"",INDEX('Risk Register'!$A$7:$A$206,MATCH("7|C|16",'Risk Register'!$R$7:$R$206,0)))</f>
        <v/>
      </c>
      <c r="AI21" s="11" t="str">
        <f>IF(COUNTIF('Risk Register'!$R$7:$R$206,"7|C|17")=0,"",INDEX('Risk Register'!$A$7:$A$206,MATCH("7|C|17",'Risk Register'!$R$7:$R$206,0)))</f>
        <v/>
      </c>
      <c r="AJ21" s="11" t="str">
        <f>IF(COUNTIF('Risk Register'!$R$7:$R$206,"7|C|18")=0,"",INDEX('Risk Register'!$A$7:$A$206,MATCH("7|C|18",'Risk Register'!$R$7:$R$206,0)))</f>
        <v/>
      </c>
      <c r="AK21" s="11" t="str">
        <f>IF(COUNTIF('Risk Register'!$R$7:$R$206,"7|C|19")=0,"",INDEX('Risk Register'!$A$7:$A$206,MATCH("7|C|19",'Risk Register'!$R$7:$R$206,0)))</f>
        <v/>
      </c>
      <c r="AL21" s="35" t="str">
        <f>IF(COUNTIF('Risk Register'!$R$7:$R$206,"7|C|20")=0,"",INDEX('Risk Register'!$A$7:$A$206,MATCH("7|C|20",'Risk Register'!$R$7:$R$206,0)))</f>
        <v/>
      </c>
      <c r="AM21" s="34" t="str">
        <f>IF(COUNTIF('Risk Register'!$R$7:$R$206,"8|C|16")=0,"",INDEX('Risk Register'!$A$7:$A$206,MATCH("8|C|16",'Risk Register'!$R$7:$R$206,0)))</f>
        <v/>
      </c>
      <c r="AN21" s="11" t="str">
        <f>IF(COUNTIF('Risk Register'!$R$7:$R$206,"8|C|17")=0,"",INDEX('Risk Register'!$A$7:$A$206,MATCH("8|C|17",'Risk Register'!$R$7:$R$206,0)))</f>
        <v/>
      </c>
      <c r="AO21" s="11" t="str">
        <f>IF(COUNTIF('Risk Register'!$R$7:$R$206,"8|C|18")=0,"",INDEX('Risk Register'!$A$7:$A$206,MATCH("8|C|18",'Risk Register'!$R$7:$R$206,0)))</f>
        <v/>
      </c>
      <c r="AP21" s="11" t="str">
        <f>IF(COUNTIF('Risk Register'!$R$7:$R$206,"8|C|19")=0,"",INDEX('Risk Register'!$A$7:$A$206,MATCH("8|C|19",'Risk Register'!$R$7:$R$206,0)))</f>
        <v/>
      </c>
      <c r="AQ21" s="35" t="str">
        <f>IF(COUNTIF('Risk Register'!$R$7:$R$206,"8|C|20")=0,"",INDEX('Risk Register'!$A$7:$A$206,MATCH("8|C|20",'Risk Register'!$R$7:$R$206,0)))</f>
        <v/>
      </c>
      <c r="AS21" s="10">
        <f>IFERROR(INDEX('Risk Register'!$A$7:$A$206,14),"")</f>
        <v>14</v>
      </c>
      <c r="AT21" s="10" t="str">
        <f>IFERROR(INDEX('Risk Register'!$B$7:$B$206,14),"")</f>
        <v>Not able to run casing or liner to bottom</v>
      </c>
    </row>
    <row r="22" spans="2:46" ht="18" customHeight="1">
      <c r="B22" s="56"/>
      <c r="C22" s="58"/>
      <c r="D22" s="18" t="str">
        <f>IF(COUNTIF('Risk Register'!$R$7:$R$206,"1|C|21")=0,"",INDEX('Risk Register'!$A$7:$A$206,MATCH("1|C|21",'Risk Register'!$R$7:$R$206,0)))</f>
        <v/>
      </c>
      <c r="E22" s="19" t="str">
        <f>IF(COUNTIF('Risk Register'!$R$7:$R$206,"1|C|22")=0,"",INDEX('Risk Register'!$A$7:$A$206,MATCH("1|C|22",'Risk Register'!$R$7:$R$206,0)))</f>
        <v/>
      </c>
      <c r="F22" s="19" t="str">
        <f>IF(COUNTIF('Risk Register'!$R$7:$R$206,"1|C|23")=0,"",INDEX('Risk Register'!$A$7:$A$206,MATCH("1|C|23",'Risk Register'!$R$7:$R$206,0)))</f>
        <v/>
      </c>
      <c r="G22" s="19" t="str">
        <f>IF(COUNTIF('Risk Register'!$R$7:$R$206,"1|C|24")=0,"",INDEX('Risk Register'!$A$7:$A$206,MATCH("1|C|24",'Risk Register'!$R$7:$R$206,0)))</f>
        <v/>
      </c>
      <c r="H22" s="20" t="str">
        <f>IF(COUNTIF('Risk Register'!$R$7:$R$206,"1|C|25")=0,"",INDEX('Risk Register'!$A$7:$A$206,MATCH("1|C|25",'Risk Register'!$R$7:$R$206,0)))</f>
        <v/>
      </c>
      <c r="I22" s="18" t="str">
        <f>IF(COUNTIF('Risk Register'!$R$7:$R$206,"2|C|21")=0,"",INDEX('Risk Register'!$A$7:$A$206,MATCH("2|C|21",'Risk Register'!$R$7:$R$206,0)))</f>
        <v/>
      </c>
      <c r="J22" s="19" t="str">
        <f>IF(COUNTIF('Risk Register'!$R$7:$R$206,"2|C|22")=0,"",INDEX('Risk Register'!$A$7:$A$206,MATCH("2|C|22",'Risk Register'!$R$7:$R$206,0)))</f>
        <v/>
      </c>
      <c r="K22" s="19" t="str">
        <f>IF(COUNTIF('Risk Register'!$R$7:$R$206,"2|C|23")=0,"",INDEX('Risk Register'!$A$7:$A$206,MATCH("2|C|23",'Risk Register'!$R$7:$R$206,0)))</f>
        <v/>
      </c>
      <c r="L22" s="19" t="str">
        <f>IF(COUNTIF('Risk Register'!$R$7:$R$206,"2|C|24")=0,"",INDEX('Risk Register'!$A$7:$A$206,MATCH("2|C|24",'Risk Register'!$R$7:$R$206,0)))</f>
        <v/>
      </c>
      <c r="M22" s="20" t="str">
        <f>IF(COUNTIF('Risk Register'!$R$7:$R$206,"2|C|25")=0,"",INDEX('Risk Register'!$A$7:$A$206,MATCH("2|C|25",'Risk Register'!$R$7:$R$206,0)))</f>
        <v/>
      </c>
      <c r="N22" s="18" t="str">
        <f>IF(COUNTIF('Risk Register'!$R$7:$R$206,"3|C|21")=0,"",INDEX('Risk Register'!$A$7:$A$206,MATCH("3|C|21",'Risk Register'!$R$7:$R$206,0)))</f>
        <v/>
      </c>
      <c r="O22" s="19" t="str">
        <f>IF(COUNTIF('Risk Register'!$R$7:$R$206,"3|C|22")=0,"",INDEX('Risk Register'!$A$7:$A$206,MATCH("3|C|22",'Risk Register'!$R$7:$R$206,0)))</f>
        <v/>
      </c>
      <c r="P22" s="19" t="str">
        <f>IF(COUNTIF('Risk Register'!$R$7:$R$206,"3|C|23")=0,"",INDEX('Risk Register'!$A$7:$A$206,MATCH("3|C|23",'Risk Register'!$R$7:$R$206,0)))</f>
        <v/>
      </c>
      <c r="Q22" s="19" t="str">
        <f>IF(COUNTIF('Risk Register'!$R$7:$R$206,"3|C|24")=0,"",INDEX('Risk Register'!$A$7:$A$206,MATCH("3|C|24",'Risk Register'!$R$7:$R$206,0)))</f>
        <v/>
      </c>
      <c r="R22" s="20" t="str">
        <f>IF(COUNTIF('Risk Register'!$R$7:$R$206,"3|C|25")=0,"",INDEX('Risk Register'!$A$7:$A$206,MATCH("3|C|25",'Risk Register'!$R$7:$R$206,0)))</f>
        <v/>
      </c>
      <c r="S22" s="36" t="str">
        <f>IF(COUNTIF('Risk Register'!$R$7:$R$206,"4|C|21")=0,"",INDEX('Risk Register'!$A$7:$A$206,MATCH("4|C|21",'Risk Register'!$R$7:$R$206,0)))</f>
        <v/>
      </c>
      <c r="T22" s="37" t="str">
        <f>IF(COUNTIF('Risk Register'!$R$7:$R$206,"4|C|22")=0,"",INDEX('Risk Register'!$A$7:$A$206,MATCH("4|C|22",'Risk Register'!$R$7:$R$206,0)))</f>
        <v/>
      </c>
      <c r="U22" s="37" t="str">
        <f>IF(COUNTIF('Risk Register'!$R$7:$R$206,"4|C|23")=0,"",INDEX('Risk Register'!$A$7:$A$206,MATCH("4|C|23",'Risk Register'!$R$7:$R$206,0)))</f>
        <v/>
      </c>
      <c r="V22" s="37" t="str">
        <f>IF(COUNTIF('Risk Register'!$R$7:$R$206,"4|C|24")=0,"",INDEX('Risk Register'!$A$7:$A$206,MATCH("4|C|24",'Risk Register'!$R$7:$R$206,0)))</f>
        <v/>
      </c>
      <c r="W22" s="38" t="str">
        <f>IF(COUNTIF('Risk Register'!$R$7:$R$206,"4|C|25")=0,"",INDEX('Risk Register'!$A$7:$A$206,MATCH("4|C|25",'Risk Register'!$R$7:$R$206,0)))</f>
        <v/>
      </c>
      <c r="X22" s="36" t="str">
        <f>IF(COUNTIF('Risk Register'!$R$7:$R$206,"5|C|21")=0,"",INDEX('Risk Register'!$A$7:$A$206,MATCH("5|C|21",'Risk Register'!$R$7:$R$206,0)))</f>
        <v/>
      </c>
      <c r="Y22" s="37" t="str">
        <f>IF(COUNTIF('Risk Register'!$R$7:$R$206,"5|C|22")=0,"",INDEX('Risk Register'!$A$7:$A$206,MATCH("5|C|22",'Risk Register'!$R$7:$R$206,0)))</f>
        <v/>
      </c>
      <c r="Z22" s="37" t="str">
        <f>IF(COUNTIF('Risk Register'!$R$7:$R$206,"5|C|23")=0,"",INDEX('Risk Register'!$A$7:$A$206,MATCH("5|C|23",'Risk Register'!$R$7:$R$206,0)))</f>
        <v/>
      </c>
      <c r="AA22" s="37" t="str">
        <f>IF(COUNTIF('Risk Register'!$R$7:$R$206,"5|C|24")=0,"",INDEX('Risk Register'!$A$7:$A$206,MATCH("5|C|24",'Risk Register'!$R$7:$R$206,0)))</f>
        <v/>
      </c>
      <c r="AB22" s="38" t="str">
        <f>IF(COUNTIF('Risk Register'!$R$7:$R$206,"5|C|25")=0,"",INDEX('Risk Register'!$A$7:$A$206,MATCH("5|C|25",'Risk Register'!$R$7:$R$206,0)))</f>
        <v/>
      </c>
      <c r="AC22" s="36" t="str">
        <f>IF(COUNTIF('Risk Register'!$R$7:$R$206,"6|C|21")=0,"",INDEX('Risk Register'!$A$7:$A$206,MATCH("6|C|21",'Risk Register'!$R$7:$R$206,0)))</f>
        <v/>
      </c>
      <c r="AD22" s="37" t="str">
        <f>IF(COUNTIF('Risk Register'!$R$7:$R$206,"6|C|22")=0,"",INDEX('Risk Register'!$A$7:$A$206,MATCH("6|C|22",'Risk Register'!$R$7:$R$206,0)))</f>
        <v/>
      </c>
      <c r="AE22" s="37" t="str">
        <f>IF(COUNTIF('Risk Register'!$R$7:$R$206,"6|C|23")=0,"",INDEX('Risk Register'!$A$7:$A$206,MATCH("6|C|23",'Risk Register'!$R$7:$R$206,0)))</f>
        <v/>
      </c>
      <c r="AF22" s="37" t="str">
        <f>IF(COUNTIF('Risk Register'!$R$7:$R$206,"6|C|24")=0,"",INDEX('Risk Register'!$A$7:$A$206,MATCH("6|C|24",'Risk Register'!$R$7:$R$206,0)))</f>
        <v/>
      </c>
      <c r="AG22" s="38" t="str">
        <f>IF(COUNTIF('Risk Register'!$R$7:$R$206,"6|C|25")=0,"",INDEX('Risk Register'!$A$7:$A$206,MATCH("6|C|25",'Risk Register'!$R$7:$R$206,0)))</f>
        <v/>
      </c>
      <c r="AH22" s="36" t="str">
        <f>IF(COUNTIF('Risk Register'!$R$7:$R$206,"7|C|21")=0,"",INDEX('Risk Register'!$A$7:$A$206,MATCH("7|C|21",'Risk Register'!$R$7:$R$206,0)))</f>
        <v/>
      </c>
      <c r="AI22" s="37" t="str">
        <f>IF(COUNTIF('Risk Register'!$R$7:$R$206,"7|C|22")=0,"",INDEX('Risk Register'!$A$7:$A$206,MATCH("7|C|22",'Risk Register'!$R$7:$R$206,0)))</f>
        <v/>
      </c>
      <c r="AJ22" s="37" t="str">
        <f>IF(COUNTIF('Risk Register'!$R$7:$R$206,"7|C|23")=0,"",INDEX('Risk Register'!$A$7:$A$206,MATCH("7|C|23",'Risk Register'!$R$7:$R$206,0)))</f>
        <v/>
      </c>
      <c r="AK22" s="37" t="str">
        <f>IF(COUNTIF('Risk Register'!$R$7:$R$206,"7|C|24")=0,"",INDEX('Risk Register'!$A$7:$A$206,MATCH("7|C|24",'Risk Register'!$R$7:$R$206,0)))</f>
        <v/>
      </c>
      <c r="AL22" s="38" t="str">
        <f>IF(COUNTIF('Risk Register'!$R$7:$R$206,"7|C|25")=0,"",INDEX('Risk Register'!$A$7:$A$206,MATCH("7|C|25",'Risk Register'!$R$7:$R$206,0)))</f>
        <v/>
      </c>
      <c r="AM22" s="36" t="str">
        <f>IF(COUNTIF('Risk Register'!$R$7:$R$206,"8|C|21")=0,"",INDEX('Risk Register'!$A$7:$A$206,MATCH("8|C|21",'Risk Register'!$R$7:$R$206,0)))</f>
        <v/>
      </c>
      <c r="AN22" s="37" t="str">
        <f>IF(COUNTIF('Risk Register'!$R$7:$R$206,"8|C|22")=0,"",INDEX('Risk Register'!$A$7:$A$206,MATCH("8|C|22",'Risk Register'!$R$7:$R$206,0)))</f>
        <v/>
      </c>
      <c r="AO22" s="37" t="str">
        <f>IF(COUNTIF('Risk Register'!$R$7:$R$206,"8|C|23")=0,"",INDEX('Risk Register'!$A$7:$A$206,MATCH("8|C|23",'Risk Register'!$R$7:$R$206,0)))</f>
        <v/>
      </c>
      <c r="AP22" s="37" t="str">
        <f>IF(COUNTIF('Risk Register'!$R$7:$R$206,"8|C|24")=0,"",INDEX('Risk Register'!$A$7:$A$206,MATCH("8|C|24",'Risk Register'!$R$7:$R$206,0)))</f>
        <v/>
      </c>
      <c r="AQ22" s="38" t="str">
        <f>IF(COUNTIF('Risk Register'!$R$7:$R$206,"8|C|25")=0,"",INDEX('Risk Register'!$A$7:$A$206,MATCH("8|C|25",'Risk Register'!$R$7:$R$206,0)))</f>
        <v/>
      </c>
      <c r="AS22" s="10">
        <f>IFERROR(INDEX('Risk Register'!$A$7:$A$206,15),"")</f>
        <v>15</v>
      </c>
      <c r="AT22" s="10" t="str">
        <f>IFERROR(INDEX('Risk Register'!$B$7:$B$206,15),"")</f>
        <v>Differential Stuck Pipe</v>
      </c>
    </row>
    <row r="23" spans="2:46" ht="18" customHeight="1">
      <c r="B23" s="56"/>
      <c r="C23" s="58" t="s">
        <v>31</v>
      </c>
      <c r="D23" s="21">
        <f>IF(COUNTIF('Risk Register'!$R$7:$R$206,"1|D|1")=0,"",INDEX('Risk Register'!$A$7:$A$206,MATCH("1|D|1",'Risk Register'!$R$7:$R$206,0)))</f>
        <v>11</v>
      </c>
      <c r="E23" s="22" t="str">
        <f>IF(COUNTIF('Risk Register'!$R$7:$R$206,"1|D|2")=0,"",INDEX('Risk Register'!$A$7:$A$206,MATCH("1|D|2",'Risk Register'!$R$7:$R$206,0)))</f>
        <v/>
      </c>
      <c r="F23" s="22" t="str">
        <f>IF(COUNTIF('Risk Register'!$R$7:$R$206,"1|D|3")=0,"",INDEX('Risk Register'!$A$7:$A$206,MATCH("1|D|3",'Risk Register'!$R$7:$R$206,0)))</f>
        <v/>
      </c>
      <c r="G23" s="22" t="str">
        <f>IF(COUNTIF('Risk Register'!$R$7:$R$206,"1|D|4")=0,"",INDEX('Risk Register'!$A$7:$A$206,MATCH("1|D|4",'Risk Register'!$R$7:$R$206,0)))</f>
        <v/>
      </c>
      <c r="H23" s="23" t="str">
        <f>IF(COUNTIF('Risk Register'!$R$7:$R$206,"1|D|5")=0,"",INDEX('Risk Register'!$A$7:$A$206,MATCH("1|D|5",'Risk Register'!$R$7:$R$206,0)))</f>
        <v/>
      </c>
      <c r="I23" s="21" t="str">
        <f>IF(COUNTIF('Risk Register'!$R$7:$R$206,"2|D|1")=0,"",INDEX('Risk Register'!$A$7:$A$206,MATCH("2|D|1",'Risk Register'!$R$7:$R$206,0)))</f>
        <v/>
      </c>
      <c r="J23" s="22" t="str">
        <f>IF(COUNTIF('Risk Register'!$R$7:$R$206,"2|D|2")=0,"",INDEX('Risk Register'!$A$7:$A$206,MATCH("2|D|2",'Risk Register'!$R$7:$R$206,0)))</f>
        <v/>
      </c>
      <c r="K23" s="22" t="str">
        <f>IF(COUNTIF('Risk Register'!$R$7:$R$206,"2|D|3")=0,"",INDEX('Risk Register'!$A$7:$A$206,MATCH("2|D|3",'Risk Register'!$R$7:$R$206,0)))</f>
        <v/>
      </c>
      <c r="L23" s="22" t="str">
        <f>IF(COUNTIF('Risk Register'!$R$7:$R$206,"2|D|4")=0,"",INDEX('Risk Register'!$A$7:$A$206,MATCH("2|D|4",'Risk Register'!$R$7:$R$206,0)))</f>
        <v/>
      </c>
      <c r="M23" s="23" t="str">
        <f>IF(COUNTIF('Risk Register'!$R$7:$R$206,"2|D|5")=0,"",INDEX('Risk Register'!$A$7:$A$206,MATCH("2|D|5",'Risk Register'!$R$7:$R$206,0)))</f>
        <v/>
      </c>
      <c r="N23" s="13">
        <f>IF(COUNTIF('Risk Register'!$R$7:$R$206,"3|D|1")=0,"",INDEX('Risk Register'!$A$7:$A$206,MATCH("3|D|1",'Risk Register'!$R$7:$R$206,0)))</f>
        <v>12</v>
      </c>
      <c r="O23" s="14" t="str">
        <f>IF(COUNTIF('Risk Register'!$R$7:$R$206,"3|D|2")=0,"",INDEX('Risk Register'!$A$7:$A$206,MATCH("3|D|2",'Risk Register'!$R$7:$R$206,0)))</f>
        <v/>
      </c>
      <c r="P23" s="14" t="str">
        <f>IF(COUNTIF('Risk Register'!$R$7:$R$206,"3|D|3")=0,"",INDEX('Risk Register'!$A$7:$A$206,MATCH("3|D|3",'Risk Register'!$R$7:$R$206,0)))</f>
        <v/>
      </c>
      <c r="Q23" s="14" t="str">
        <f>IF(COUNTIF('Risk Register'!$R$7:$R$206,"3|D|4")=0,"",INDEX('Risk Register'!$A$7:$A$206,MATCH("3|D|4",'Risk Register'!$R$7:$R$206,0)))</f>
        <v/>
      </c>
      <c r="R23" s="15" t="str">
        <f>IF(COUNTIF('Risk Register'!$R$7:$R$206,"3|D|5")=0,"",INDEX('Risk Register'!$A$7:$A$206,MATCH("3|D|5",'Risk Register'!$R$7:$R$206,0)))</f>
        <v/>
      </c>
      <c r="S23" s="13">
        <f>IF(COUNTIF('Risk Register'!$R$7:$R$206,"4|D|1")=0,"",INDEX('Risk Register'!$A$7:$A$206,MATCH("4|D|1",'Risk Register'!$R$7:$R$206,0)))</f>
        <v>1</v>
      </c>
      <c r="T23" s="14" t="str">
        <f>IF(COUNTIF('Risk Register'!$R$7:$R$206,"4|D|2")=0,"",INDEX('Risk Register'!$A$7:$A$206,MATCH("4|D|2",'Risk Register'!$R$7:$R$206,0)))</f>
        <v/>
      </c>
      <c r="U23" s="14" t="str">
        <f>IF(COUNTIF('Risk Register'!$R$7:$R$206,"4|D|3")=0,"",INDEX('Risk Register'!$A$7:$A$206,MATCH("4|D|3",'Risk Register'!$R$7:$R$206,0)))</f>
        <v/>
      </c>
      <c r="V23" s="14" t="str">
        <f>IF(COUNTIF('Risk Register'!$R$7:$R$206,"4|D|4")=0,"",INDEX('Risk Register'!$A$7:$A$206,MATCH("4|D|4",'Risk Register'!$R$7:$R$206,0)))</f>
        <v/>
      </c>
      <c r="W23" s="15" t="str">
        <f>IF(COUNTIF('Risk Register'!$R$7:$R$206,"4|D|5")=0,"",INDEX('Risk Register'!$A$7:$A$206,MATCH("4|D|5",'Risk Register'!$R$7:$R$206,0)))</f>
        <v/>
      </c>
      <c r="X23" s="13">
        <f>IF(COUNTIF('Risk Register'!$R$7:$R$206,"5|D|1")=0,"",INDEX('Risk Register'!$A$7:$A$206,MATCH("5|D|1",'Risk Register'!$R$7:$R$206,0)))</f>
        <v>15</v>
      </c>
      <c r="Y23" s="14" t="str">
        <f>IF(COUNTIF('Risk Register'!$R$7:$R$206,"5|D|2")=0,"",INDEX('Risk Register'!$A$7:$A$206,MATCH("5|D|2",'Risk Register'!$R$7:$R$206,0)))</f>
        <v/>
      </c>
      <c r="Z23" s="14" t="str">
        <f>IF(COUNTIF('Risk Register'!$R$7:$R$206,"5|D|3")=0,"",INDEX('Risk Register'!$A$7:$A$206,MATCH("5|D|3",'Risk Register'!$R$7:$R$206,0)))</f>
        <v/>
      </c>
      <c r="AA23" s="14" t="str">
        <f>IF(COUNTIF('Risk Register'!$R$7:$R$206,"5|D|4")=0,"",INDEX('Risk Register'!$A$7:$A$206,MATCH("5|D|4",'Risk Register'!$R$7:$R$206,0)))</f>
        <v/>
      </c>
      <c r="AB23" s="15" t="str">
        <f>IF(COUNTIF('Risk Register'!$R$7:$R$206,"5|D|5")=0,"",INDEX('Risk Register'!$A$7:$A$206,MATCH("5|D|5",'Risk Register'!$R$7:$R$206,0)))</f>
        <v/>
      </c>
      <c r="AC23" s="31" t="str">
        <f>IF(COUNTIF('Risk Register'!$R$7:$R$206,"6|D|1")=0,"",INDEX('Risk Register'!$A$7:$A$206,MATCH("6|D|1",'Risk Register'!$R$7:$R$206,0)))</f>
        <v/>
      </c>
      <c r="AD23" s="32" t="str">
        <f>IF(COUNTIF('Risk Register'!$R$7:$R$206,"6|D|2")=0,"",INDEX('Risk Register'!$A$7:$A$206,MATCH("6|D|2",'Risk Register'!$R$7:$R$206,0)))</f>
        <v/>
      </c>
      <c r="AE23" s="32" t="str">
        <f>IF(COUNTIF('Risk Register'!$R$7:$R$206,"6|D|3")=0,"",INDEX('Risk Register'!$A$7:$A$206,MATCH("6|D|3",'Risk Register'!$R$7:$R$206,0)))</f>
        <v/>
      </c>
      <c r="AF23" s="32" t="str">
        <f>IF(COUNTIF('Risk Register'!$R$7:$R$206,"6|D|4")=0,"",INDEX('Risk Register'!$A$7:$A$206,MATCH("6|D|4",'Risk Register'!$R$7:$R$206,0)))</f>
        <v/>
      </c>
      <c r="AG23" s="33" t="str">
        <f>IF(COUNTIF('Risk Register'!$R$7:$R$206,"6|D|5")=0,"",INDEX('Risk Register'!$A$7:$A$206,MATCH("6|D|5",'Risk Register'!$R$7:$R$206,0)))</f>
        <v/>
      </c>
      <c r="AH23" s="31" t="str">
        <f>IF(COUNTIF('Risk Register'!$R$7:$R$206,"7|D|1")=0,"",INDEX('Risk Register'!$A$7:$A$206,MATCH("7|D|1",'Risk Register'!$R$7:$R$206,0)))</f>
        <v/>
      </c>
      <c r="AI23" s="32" t="str">
        <f>IF(COUNTIF('Risk Register'!$R$7:$R$206,"7|D|2")=0,"",INDEX('Risk Register'!$A$7:$A$206,MATCH("7|D|2",'Risk Register'!$R$7:$R$206,0)))</f>
        <v/>
      </c>
      <c r="AJ23" s="32" t="str">
        <f>IF(COUNTIF('Risk Register'!$R$7:$R$206,"7|D|3")=0,"",INDEX('Risk Register'!$A$7:$A$206,MATCH("7|D|3",'Risk Register'!$R$7:$R$206,0)))</f>
        <v/>
      </c>
      <c r="AK23" s="32" t="str">
        <f>IF(COUNTIF('Risk Register'!$R$7:$R$206,"7|D|4")=0,"",INDEX('Risk Register'!$A$7:$A$206,MATCH("7|D|4",'Risk Register'!$R$7:$R$206,0)))</f>
        <v/>
      </c>
      <c r="AL23" s="33" t="str">
        <f>IF(COUNTIF('Risk Register'!$R$7:$R$206,"7|D|5")=0,"",INDEX('Risk Register'!$A$7:$A$206,MATCH("7|D|5",'Risk Register'!$R$7:$R$206,0)))</f>
        <v/>
      </c>
      <c r="AM23" s="31" t="str">
        <f>IF(COUNTIF('Risk Register'!$R$7:$R$206,"8|D|1")=0,"",INDEX('Risk Register'!$A$7:$A$206,MATCH("8|D|1",'Risk Register'!$R$7:$R$206,0)))</f>
        <v/>
      </c>
      <c r="AN23" s="32" t="str">
        <f>IF(COUNTIF('Risk Register'!$R$7:$R$206,"8|D|2")=0,"",INDEX('Risk Register'!$A$7:$A$206,MATCH("8|D|2",'Risk Register'!$R$7:$R$206,0)))</f>
        <v/>
      </c>
      <c r="AO23" s="32" t="str">
        <f>IF(COUNTIF('Risk Register'!$R$7:$R$206,"8|D|3")=0,"",INDEX('Risk Register'!$A$7:$A$206,MATCH("8|D|3",'Risk Register'!$R$7:$R$206,0)))</f>
        <v/>
      </c>
      <c r="AP23" s="32" t="str">
        <f>IF(COUNTIF('Risk Register'!$R$7:$R$206,"8|D|4")=0,"",INDEX('Risk Register'!$A$7:$A$206,MATCH("8|D|4",'Risk Register'!$R$7:$R$206,0)))</f>
        <v/>
      </c>
      <c r="AQ23" s="33" t="str">
        <f>IF(COUNTIF('Risk Register'!$R$7:$R$206,"8|D|5")=0,"",INDEX('Risk Register'!$A$7:$A$206,MATCH("8|D|5",'Risk Register'!$R$7:$R$206,0)))</f>
        <v/>
      </c>
      <c r="AS23" s="10">
        <f>IFERROR(INDEX('Risk Register'!$A$7:$A$206,16),"")</f>
        <v>16</v>
      </c>
      <c r="AT23" s="10" t="str">
        <f>IFERROR(INDEX('Risk Register'!$B$7:$B$206,16),"")</f>
        <v>Shallow gas</v>
      </c>
    </row>
    <row r="24" spans="2:46" ht="18" customHeight="1">
      <c r="B24" s="56"/>
      <c r="C24" s="58"/>
      <c r="D24" s="24" t="str">
        <f>IF(COUNTIF('Risk Register'!$R$7:$R$206,"1|D|6")=0,"",INDEX('Risk Register'!$A$7:$A$206,MATCH("1|D|6",'Risk Register'!$R$7:$R$206,0)))</f>
        <v/>
      </c>
      <c r="E24" s="25" t="str">
        <f>IF(COUNTIF('Risk Register'!$R$7:$R$206,"1|D|7")=0,"",INDEX('Risk Register'!$A$7:$A$206,MATCH("1|D|7",'Risk Register'!$R$7:$R$206,0)))</f>
        <v/>
      </c>
      <c r="F24" s="25" t="str">
        <f>IF(COUNTIF('Risk Register'!$R$7:$R$206,"1|D|8")=0,"",INDEX('Risk Register'!$A$7:$A$206,MATCH("1|D|8",'Risk Register'!$R$7:$R$206,0)))</f>
        <v/>
      </c>
      <c r="G24" s="25" t="str">
        <f>IF(COUNTIF('Risk Register'!$R$7:$R$206,"1|D|9")=0,"",INDEX('Risk Register'!$A$7:$A$206,MATCH("1|D|9",'Risk Register'!$R$7:$R$206,0)))</f>
        <v/>
      </c>
      <c r="H24" s="26" t="str">
        <f>IF(COUNTIF('Risk Register'!$R$7:$R$206,"1|D|10")=0,"",INDEX('Risk Register'!$A$7:$A$206,MATCH("1|D|10",'Risk Register'!$R$7:$R$206,0)))</f>
        <v/>
      </c>
      <c r="I24" s="24" t="str">
        <f>IF(COUNTIF('Risk Register'!$R$7:$R$206,"2|D|6")=0,"",INDEX('Risk Register'!$A$7:$A$206,MATCH("2|D|6",'Risk Register'!$R$7:$R$206,0)))</f>
        <v/>
      </c>
      <c r="J24" s="25" t="str">
        <f>IF(COUNTIF('Risk Register'!$R$7:$R$206,"2|D|7")=0,"",INDEX('Risk Register'!$A$7:$A$206,MATCH("2|D|7",'Risk Register'!$R$7:$R$206,0)))</f>
        <v/>
      </c>
      <c r="K24" s="25" t="str">
        <f>IF(COUNTIF('Risk Register'!$R$7:$R$206,"2|D|8")=0,"",INDEX('Risk Register'!$A$7:$A$206,MATCH("2|D|8",'Risk Register'!$R$7:$R$206,0)))</f>
        <v/>
      </c>
      <c r="L24" s="25" t="str">
        <f>IF(COUNTIF('Risk Register'!$R$7:$R$206,"2|D|9")=0,"",INDEX('Risk Register'!$A$7:$A$206,MATCH("2|D|9",'Risk Register'!$R$7:$R$206,0)))</f>
        <v/>
      </c>
      <c r="M24" s="26" t="str">
        <f>IF(COUNTIF('Risk Register'!$R$7:$R$206,"2|D|10")=0,"",INDEX('Risk Register'!$A$7:$A$206,MATCH("2|D|10",'Risk Register'!$R$7:$R$206,0)))</f>
        <v/>
      </c>
      <c r="N24" s="16" t="str">
        <f>IF(COUNTIF('Risk Register'!$R$7:$R$206,"3|D|6")=0,"",INDEX('Risk Register'!$A$7:$A$206,MATCH("3|D|6",'Risk Register'!$R$7:$R$206,0)))</f>
        <v/>
      </c>
      <c r="O24" s="12" t="str">
        <f>IF(COUNTIF('Risk Register'!$R$7:$R$206,"3|D|7")=0,"",INDEX('Risk Register'!$A$7:$A$206,MATCH("3|D|7",'Risk Register'!$R$7:$R$206,0)))</f>
        <v/>
      </c>
      <c r="P24" s="12" t="str">
        <f>IF(COUNTIF('Risk Register'!$R$7:$R$206,"3|D|8")=0,"",INDEX('Risk Register'!$A$7:$A$206,MATCH("3|D|8",'Risk Register'!$R$7:$R$206,0)))</f>
        <v/>
      </c>
      <c r="Q24" s="12" t="str">
        <f>IF(COUNTIF('Risk Register'!$R$7:$R$206,"3|D|9")=0,"",INDEX('Risk Register'!$A$7:$A$206,MATCH("3|D|9",'Risk Register'!$R$7:$R$206,0)))</f>
        <v/>
      </c>
      <c r="R24" s="17" t="str">
        <f>IF(COUNTIF('Risk Register'!$R$7:$R$206,"3|D|10")=0,"",INDEX('Risk Register'!$A$7:$A$206,MATCH("3|D|10",'Risk Register'!$R$7:$R$206,0)))</f>
        <v/>
      </c>
      <c r="S24" s="16" t="str">
        <f>IF(COUNTIF('Risk Register'!$R$7:$R$206,"4|D|6")=0,"",INDEX('Risk Register'!$A$7:$A$206,MATCH("4|D|6",'Risk Register'!$R$7:$R$206,0)))</f>
        <v/>
      </c>
      <c r="T24" s="12" t="str">
        <f>IF(COUNTIF('Risk Register'!$R$7:$R$206,"4|D|7")=0,"",INDEX('Risk Register'!$A$7:$A$206,MATCH("4|D|7",'Risk Register'!$R$7:$R$206,0)))</f>
        <v/>
      </c>
      <c r="U24" s="12" t="str">
        <f>IF(COUNTIF('Risk Register'!$R$7:$R$206,"4|D|8")=0,"",INDEX('Risk Register'!$A$7:$A$206,MATCH("4|D|8",'Risk Register'!$R$7:$R$206,0)))</f>
        <v/>
      </c>
      <c r="V24" s="12" t="str">
        <f>IF(COUNTIF('Risk Register'!$R$7:$R$206,"4|D|9")=0,"",INDEX('Risk Register'!$A$7:$A$206,MATCH("4|D|9",'Risk Register'!$R$7:$R$206,0)))</f>
        <v/>
      </c>
      <c r="W24" s="17" t="str">
        <f>IF(COUNTIF('Risk Register'!$R$7:$R$206,"4|D|10")=0,"",INDEX('Risk Register'!$A$7:$A$206,MATCH("4|D|10",'Risk Register'!$R$7:$R$206,0)))</f>
        <v/>
      </c>
      <c r="X24" s="16" t="str">
        <f>IF(COUNTIF('Risk Register'!$R$7:$R$206,"5|D|6")=0,"",INDEX('Risk Register'!$A$7:$A$206,MATCH("5|D|6",'Risk Register'!$R$7:$R$206,0)))</f>
        <v/>
      </c>
      <c r="Y24" s="12" t="str">
        <f>IF(COUNTIF('Risk Register'!$R$7:$R$206,"5|D|7")=0,"",INDEX('Risk Register'!$A$7:$A$206,MATCH("5|D|7",'Risk Register'!$R$7:$R$206,0)))</f>
        <v/>
      </c>
      <c r="Z24" s="12" t="str">
        <f>IF(COUNTIF('Risk Register'!$R$7:$R$206,"5|D|8")=0,"",INDEX('Risk Register'!$A$7:$A$206,MATCH("5|D|8",'Risk Register'!$R$7:$R$206,0)))</f>
        <v/>
      </c>
      <c r="AA24" s="12" t="str">
        <f>IF(COUNTIF('Risk Register'!$R$7:$R$206,"5|D|9")=0,"",INDEX('Risk Register'!$A$7:$A$206,MATCH("5|D|9",'Risk Register'!$R$7:$R$206,0)))</f>
        <v/>
      </c>
      <c r="AB24" s="17" t="str">
        <f>IF(COUNTIF('Risk Register'!$R$7:$R$206,"5|D|10")=0,"",INDEX('Risk Register'!$A$7:$A$206,MATCH("5|D|10",'Risk Register'!$R$7:$R$206,0)))</f>
        <v/>
      </c>
      <c r="AC24" s="34" t="str">
        <f>IF(COUNTIF('Risk Register'!$R$7:$R$206,"6|D|6")=0,"",INDEX('Risk Register'!$A$7:$A$206,MATCH("6|D|6",'Risk Register'!$R$7:$R$206,0)))</f>
        <v/>
      </c>
      <c r="AD24" s="11" t="str">
        <f>IF(COUNTIF('Risk Register'!$R$7:$R$206,"6|D|7")=0,"",INDEX('Risk Register'!$A$7:$A$206,MATCH("6|D|7",'Risk Register'!$R$7:$R$206,0)))</f>
        <v/>
      </c>
      <c r="AE24" s="11" t="str">
        <f>IF(COUNTIF('Risk Register'!$R$7:$R$206,"6|D|8")=0,"",INDEX('Risk Register'!$A$7:$A$206,MATCH("6|D|8",'Risk Register'!$R$7:$R$206,0)))</f>
        <v/>
      </c>
      <c r="AF24" s="11" t="str">
        <f>IF(COUNTIF('Risk Register'!$R$7:$R$206,"6|D|9")=0,"",INDEX('Risk Register'!$A$7:$A$206,MATCH("6|D|9",'Risk Register'!$R$7:$R$206,0)))</f>
        <v/>
      </c>
      <c r="AG24" s="35" t="str">
        <f>IF(COUNTIF('Risk Register'!$R$7:$R$206,"6|D|10")=0,"",INDEX('Risk Register'!$A$7:$A$206,MATCH("6|D|10",'Risk Register'!$R$7:$R$206,0)))</f>
        <v/>
      </c>
      <c r="AH24" s="34" t="str">
        <f>IF(COUNTIF('Risk Register'!$R$7:$R$206,"7|D|6")=0,"",INDEX('Risk Register'!$A$7:$A$206,MATCH("7|D|6",'Risk Register'!$R$7:$R$206,0)))</f>
        <v/>
      </c>
      <c r="AI24" s="11" t="str">
        <f>IF(COUNTIF('Risk Register'!$R$7:$R$206,"7|D|7")=0,"",INDEX('Risk Register'!$A$7:$A$206,MATCH("7|D|7",'Risk Register'!$R$7:$R$206,0)))</f>
        <v/>
      </c>
      <c r="AJ24" s="11" t="str">
        <f>IF(COUNTIF('Risk Register'!$R$7:$R$206,"7|D|8")=0,"",INDEX('Risk Register'!$A$7:$A$206,MATCH("7|D|8",'Risk Register'!$R$7:$R$206,0)))</f>
        <v/>
      </c>
      <c r="AK24" s="11" t="str">
        <f>IF(COUNTIF('Risk Register'!$R$7:$R$206,"7|D|9")=0,"",INDEX('Risk Register'!$A$7:$A$206,MATCH("7|D|9",'Risk Register'!$R$7:$R$206,0)))</f>
        <v/>
      </c>
      <c r="AL24" s="35" t="str">
        <f>IF(COUNTIF('Risk Register'!$R$7:$R$206,"7|D|10")=0,"",INDEX('Risk Register'!$A$7:$A$206,MATCH("7|D|10",'Risk Register'!$R$7:$R$206,0)))</f>
        <v/>
      </c>
      <c r="AM24" s="34" t="str">
        <f>IF(COUNTIF('Risk Register'!$R$7:$R$206,"8|D|6")=0,"",INDEX('Risk Register'!$A$7:$A$206,MATCH("8|D|6",'Risk Register'!$R$7:$R$206,0)))</f>
        <v/>
      </c>
      <c r="AN24" s="11" t="str">
        <f>IF(COUNTIF('Risk Register'!$R$7:$R$206,"8|D|7")=0,"",INDEX('Risk Register'!$A$7:$A$206,MATCH("8|D|7",'Risk Register'!$R$7:$R$206,0)))</f>
        <v/>
      </c>
      <c r="AO24" s="11" t="str">
        <f>IF(COUNTIF('Risk Register'!$R$7:$R$206,"8|D|8")=0,"",INDEX('Risk Register'!$A$7:$A$206,MATCH("8|D|8",'Risk Register'!$R$7:$R$206,0)))</f>
        <v/>
      </c>
      <c r="AP24" s="11" t="str">
        <f>IF(COUNTIF('Risk Register'!$R$7:$R$206,"8|D|9")=0,"",INDEX('Risk Register'!$A$7:$A$206,MATCH("8|D|9",'Risk Register'!$R$7:$R$206,0)))</f>
        <v/>
      </c>
      <c r="AQ24" s="35" t="str">
        <f>IF(COUNTIF('Risk Register'!$R$7:$R$206,"8|D|10")=0,"",INDEX('Risk Register'!$A$7:$A$206,MATCH("8|D|10",'Risk Register'!$R$7:$R$206,0)))</f>
        <v/>
      </c>
      <c r="AS24" s="10">
        <f>IFERROR(INDEX('Risk Register'!$A$7:$A$206,17),"")</f>
        <v>17</v>
      </c>
      <c r="AT24" s="10" t="str">
        <f>IFERROR(INDEX('Risk Register'!$B$7:$B$206,17),"")</f>
        <v>Unable to circulate through shoe</v>
      </c>
    </row>
    <row r="25" spans="2:46" ht="18" customHeight="1">
      <c r="B25" s="56"/>
      <c r="C25" s="58"/>
      <c r="D25" s="24" t="str">
        <f>IF(COUNTIF('Risk Register'!$R$7:$R$206,"1|D|11")=0,"",INDEX('Risk Register'!$A$7:$A$206,MATCH("1|D|11",'Risk Register'!$R$7:$R$206,0)))</f>
        <v/>
      </c>
      <c r="E25" s="25" t="str">
        <f>IF(COUNTIF('Risk Register'!$R$7:$R$206,"1|D|12")=0,"",INDEX('Risk Register'!$A$7:$A$206,MATCH("1|D|12",'Risk Register'!$R$7:$R$206,0)))</f>
        <v/>
      </c>
      <c r="F25" s="25" t="str">
        <f>IF(COUNTIF('Risk Register'!$R$7:$R$206,"1|D|13")=0,"",INDEX('Risk Register'!$A$7:$A$206,MATCH("1|D|13",'Risk Register'!$R$7:$R$206,0)))</f>
        <v/>
      </c>
      <c r="G25" s="25" t="str">
        <f>IF(COUNTIF('Risk Register'!$R$7:$R$206,"1|D|14")=0,"",INDEX('Risk Register'!$A$7:$A$206,MATCH("1|D|14",'Risk Register'!$R$7:$R$206,0)))</f>
        <v/>
      </c>
      <c r="H25" s="26" t="str">
        <f>IF(COUNTIF('Risk Register'!$R$7:$R$206,"1|D|15")=0,"",INDEX('Risk Register'!$A$7:$A$206,MATCH("1|D|15",'Risk Register'!$R$7:$R$206,0)))</f>
        <v/>
      </c>
      <c r="I25" s="24" t="str">
        <f>IF(COUNTIF('Risk Register'!$R$7:$R$206,"2|D|11")=0,"",INDEX('Risk Register'!$A$7:$A$206,MATCH("2|D|11",'Risk Register'!$R$7:$R$206,0)))</f>
        <v/>
      </c>
      <c r="J25" s="25" t="str">
        <f>IF(COUNTIF('Risk Register'!$R$7:$R$206,"2|D|12")=0,"",INDEX('Risk Register'!$A$7:$A$206,MATCH("2|D|12",'Risk Register'!$R$7:$R$206,0)))</f>
        <v/>
      </c>
      <c r="K25" s="25" t="str">
        <f>IF(COUNTIF('Risk Register'!$R$7:$R$206,"2|D|13")=0,"",INDEX('Risk Register'!$A$7:$A$206,MATCH("2|D|13",'Risk Register'!$R$7:$R$206,0)))</f>
        <v/>
      </c>
      <c r="L25" s="25" t="str">
        <f>IF(COUNTIF('Risk Register'!$R$7:$R$206,"2|D|14")=0,"",INDEX('Risk Register'!$A$7:$A$206,MATCH("2|D|14",'Risk Register'!$R$7:$R$206,0)))</f>
        <v/>
      </c>
      <c r="M25" s="26" t="str">
        <f>IF(COUNTIF('Risk Register'!$R$7:$R$206,"2|D|15")=0,"",INDEX('Risk Register'!$A$7:$A$206,MATCH("2|D|15",'Risk Register'!$R$7:$R$206,0)))</f>
        <v/>
      </c>
      <c r="N25" s="16" t="str">
        <f>IF(COUNTIF('Risk Register'!$R$7:$R$206,"3|D|11")=0,"",INDEX('Risk Register'!$A$7:$A$206,MATCH("3|D|11",'Risk Register'!$R$7:$R$206,0)))</f>
        <v/>
      </c>
      <c r="O25" s="12" t="str">
        <f>IF(COUNTIF('Risk Register'!$R$7:$R$206,"3|D|12")=0,"",INDEX('Risk Register'!$A$7:$A$206,MATCH("3|D|12",'Risk Register'!$R$7:$R$206,0)))</f>
        <v/>
      </c>
      <c r="P25" s="12" t="str">
        <f>IF(COUNTIF('Risk Register'!$R$7:$R$206,"3|D|13")=0,"",INDEX('Risk Register'!$A$7:$A$206,MATCH("3|D|13",'Risk Register'!$R$7:$R$206,0)))</f>
        <v/>
      </c>
      <c r="Q25" s="12" t="str">
        <f>IF(COUNTIF('Risk Register'!$R$7:$R$206,"3|D|14")=0,"",INDEX('Risk Register'!$A$7:$A$206,MATCH("3|D|14",'Risk Register'!$R$7:$R$206,0)))</f>
        <v/>
      </c>
      <c r="R25" s="17" t="str">
        <f>IF(COUNTIF('Risk Register'!$R$7:$R$206,"3|D|15")=0,"",INDEX('Risk Register'!$A$7:$A$206,MATCH("3|D|15",'Risk Register'!$R$7:$R$206,0)))</f>
        <v/>
      </c>
      <c r="S25" s="16" t="str">
        <f>IF(COUNTIF('Risk Register'!$R$7:$R$206,"4|D|11")=0,"",INDEX('Risk Register'!$A$7:$A$206,MATCH("4|D|11",'Risk Register'!$R$7:$R$206,0)))</f>
        <v/>
      </c>
      <c r="T25" s="12" t="str">
        <f>IF(COUNTIF('Risk Register'!$R$7:$R$206,"4|D|12")=0,"",INDEX('Risk Register'!$A$7:$A$206,MATCH("4|D|12",'Risk Register'!$R$7:$R$206,0)))</f>
        <v/>
      </c>
      <c r="U25" s="12" t="str">
        <f>IF(COUNTIF('Risk Register'!$R$7:$R$206,"4|D|13")=0,"",INDEX('Risk Register'!$A$7:$A$206,MATCH("4|D|13",'Risk Register'!$R$7:$R$206,0)))</f>
        <v/>
      </c>
      <c r="V25" s="12" t="str">
        <f>IF(COUNTIF('Risk Register'!$R$7:$R$206,"4|D|14")=0,"",INDEX('Risk Register'!$A$7:$A$206,MATCH("4|D|14",'Risk Register'!$R$7:$R$206,0)))</f>
        <v/>
      </c>
      <c r="W25" s="17" t="str">
        <f>IF(COUNTIF('Risk Register'!$R$7:$R$206,"4|D|15")=0,"",INDEX('Risk Register'!$A$7:$A$206,MATCH("4|D|15",'Risk Register'!$R$7:$R$206,0)))</f>
        <v/>
      </c>
      <c r="X25" s="16" t="str">
        <f>IF(COUNTIF('Risk Register'!$R$7:$R$206,"5|D|11")=0,"",INDEX('Risk Register'!$A$7:$A$206,MATCH("5|D|11",'Risk Register'!$R$7:$R$206,0)))</f>
        <v/>
      </c>
      <c r="Y25" s="12" t="str">
        <f>IF(COUNTIF('Risk Register'!$R$7:$R$206,"5|D|12")=0,"",INDEX('Risk Register'!$A$7:$A$206,MATCH("5|D|12",'Risk Register'!$R$7:$R$206,0)))</f>
        <v/>
      </c>
      <c r="Z25" s="12" t="str">
        <f>IF(COUNTIF('Risk Register'!$R$7:$R$206,"5|D|13")=0,"",INDEX('Risk Register'!$A$7:$A$206,MATCH("5|D|13",'Risk Register'!$R$7:$R$206,0)))</f>
        <v/>
      </c>
      <c r="AA25" s="12" t="str">
        <f>IF(COUNTIF('Risk Register'!$R$7:$R$206,"5|D|14")=0,"",INDEX('Risk Register'!$A$7:$A$206,MATCH("5|D|14",'Risk Register'!$R$7:$R$206,0)))</f>
        <v/>
      </c>
      <c r="AB25" s="17" t="str">
        <f>IF(COUNTIF('Risk Register'!$R$7:$R$206,"5|D|15")=0,"",INDEX('Risk Register'!$A$7:$A$206,MATCH("5|D|15",'Risk Register'!$R$7:$R$206,0)))</f>
        <v/>
      </c>
      <c r="AC25" s="34" t="str">
        <f>IF(COUNTIF('Risk Register'!$R$7:$R$206,"6|D|11")=0,"",INDEX('Risk Register'!$A$7:$A$206,MATCH("6|D|11",'Risk Register'!$R$7:$R$206,0)))</f>
        <v/>
      </c>
      <c r="AD25" s="11" t="str">
        <f>IF(COUNTIF('Risk Register'!$R$7:$R$206,"6|D|12")=0,"",INDEX('Risk Register'!$A$7:$A$206,MATCH("6|D|12",'Risk Register'!$R$7:$R$206,0)))</f>
        <v/>
      </c>
      <c r="AE25" s="11" t="str">
        <f>IF(COUNTIF('Risk Register'!$R$7:$R$206,"6|D|13")=0,"",INDEX('Risk Register'!$A$7:$A$206,MATCH("6|D|13",'Risk Register'!$R$7:$R$206,0)))</f>
        <v/>
      </c>
      <c r="AF25" s="11" t="str">
        <f>IF(COUNTIF('Risk Register'!$R$7:$R$206,"6|D|14")=0,"",INDEX('Risk Register'!$A$7:$A$206,MATCH("6|D|14",'Risk Register'!$R$7:$R$206,0)))</f>
        <v/>
      </c>
      <c r="AG25" s="35" t="str">
        <f>IF(COUNTIF('Risk Register'!$R$7:$R$206,"6|D|15")=0,"",INDEX('Risk Register'!$A$7:$A$206,MATCH("6|D|15",'Risk Register'!$R$7:$R$206,0)))</f>
        <v/>
      </c>
      <c r="AH25" s="34" t="str">
        <f>IF(COUNTIF('Risk Register'!$R$7:$R$206,"7|D|11")=0,"",INDEX('Risk Register'!$A$7:$A$206,MATCH("7|D|11",'Risk Register'!$R$7:$R$206,0)))</f>
        <v/>
      </c>
      <c r="AI25" s="11" t="str">
        <f>IF(COUNTIF('Risk Register'!$R$7:$R$206,"7|D|12")=0,"",INDEX('Risk Register'!$A$7:$A$206,MATCH("7|D|12",'Risk Register'!$R$7:$R$206,0)))</f>
        <v/>
      </c>
      <c r="AJ25" s="11" t="str">
        <f>IF(COUNTIF('Risk Register'!$R$7:$R$206,"7|D|13")=0,"",INDEX('Risk Register'!$A$7:$A$206,MATCH("7|D|13",'Risk Register'!$R$7:$R$206,0)))</f>
        <v/>
      </c>
      <c r="AK25" s="11" t="str">
        <f>IF(COUNTIF('Risk Register'!$R$7:$R$206,"7|D|14")=0,"",INDEX('Risk Register'!$A$7:$A$206,MATCH("7|D|14",'Risk Register'!$R$7:$R$206,0)))</f>
        <v/>
      </c>
      <c r="AL25" s="35" t="str">
        <f>IF(COUNTIF('Risk Register'!$R$7:$R$206,"7|D|15")=0,"",INDEX('Risk Register'!$A$7:$A$206,MATCH("7|D|15",'Risk Register'!$R$7:$R$206,0)))</f>
        <v/>
      </c>
      <c r="AM25" s="34" t="str">
        <f>IF(COUNTIF('Risk Register'!$R$7:$R$206,"8|D|11")=0,"",INDEX('Risk Register'!$A$7:$A$206,MATCH("8|D|11",'Risk Register'!$R$7:$R$206,0)))</f>
        <v/>
      </c>
      <c r="AN25" s="11" t="str">
        <f>IF(COUNTIF('Risk Register'!$R$7:$R$206,"8|D|12")=0,"",INDEX('Risk Register'!$A$7:$A$206,MATCH("8|D|12",'Risk Register'!$R$7:$R$206,0)))</f>
        <v/>
      </c>
      <c r="AO25" s="11" t="str">
        <f>IF(COUNTIF('Risk Register'!$R$7:$R$206,"8|D|13")=0,"",INDEX('Risk Register'!$A$7:$A$206,MATCH("8|D|13",'Risk Register'!$R$7:$R$206,0)))</f>
        <v/>
      </c>
      <c r="AP25" s="11" t="str">
        <f>IF(COUNTIF('Risk Register'!$R$7:$R$206,"8|D|14")=0,"",INDEX('Risk Register'!$A$7:$A$206,MATCH("8|D|14",'Risk Register'!$R$7:$R$206,0)))</f>
        <v/>
      </c>
      <c r="AQ25" s="35" t="str">
        <f>IF(COUNTIF('Risk Register'!$R$7:$R$206,"8|D|15")=0,"",INDEX('Risk Register'!$A$7:$A$206,MATCH("8|D|15",'Risk Register'!$R$7:$R$206,0)))</f>
        <v/>
      </c>
      <c r="AS25" s="10">
        <f>IFERROR(INDEX('Risk Register'!$A$7:$A$206,18),"")</f>
        <v>18</v>
      </c>
      <c r="AT25" s="10" t="str">
        <f>IFERROR(INDEX('Risk Register'!$B$7:$B$206,18),"")</f>
        <v>Well proposal does not describe in detail the potential geothermal well objectives</v>
      </c>
    </row>
    <row r="26" spans="2:46" ht="18" customHeight="1">
      <c r="B26" s="56"/>
      <c r="C26" s="58"/>
      <c r="D26" s="24" t="str">
        <f>IF(COUNTIF('Risk Register'!$R$7:$R$206,"1|D|16")=0,"",INDEX('Risk Register'!$A$7:$A$206,MATCH("1|D|16",'Risk Register'!$R$7:$R$206,0)))</f>
        <v/>
      </c>
      <c r="E26" s="25" t="str">
        <f>IF(COUNTIF('Risk Register'!$R$7:$R$206,"1|D|17")=0,"",INDEX('Risk Register'!$A$7:$A$206,MATCH("1|D|17",'Risk Register'!$R$7:$R$206,0)))</f>
        <v/>
      </c>
      <c r="F26" s="25" t="str">
        <f>IF(COUNTIF('Risk Register'!$R$7:$R$206,"1|D|18")=0,"",INDEX('Risk Register'!$A$7:$A$206,MATCH("1|D|18",'Risk Register'!$R$7:$R$206,0)))</f>
        <v/>
      </c>
      <c r="G26" s="25" t="str">
        <f>IF(COUNTIF('Risk Register'!$R$7:$R$206,"1|D|19")=0,"",INDEX('Risk Register'!$A$7:$A$206,MATCH("1|D|19",'Risk Register'!$R$7:$R$206,0)))</f>
        <v/>
      </c>
      <c r="H26" s="26" t="str">
        <f>IF(COUNTIF('Risk Register'!$R$7:$R$206,"1|D|20")=0,"",INDEX('Risk Register'!$A$7:$A$206,MATCH("1|D|20",'Risk Register'!$R$7:$R$206,0)))</f>
        <v/>
      </c>
      <c r="I26" s="24" t="str">
        <f>IF(COUNTIF('Risk Register'!$R$7:$R$206,"2|D|16")=0,"",INDEX('Risk Register'!$A$7:$A$206,MATCH("2|D|16",'Risk Register'!$R$7:$R$206,0)))</f>
        <v/>
      </c>
      <c r="J26" s="25" t="str">
        <f>IF(COUNTIF('Risk Register'!$R$7:$R$206,"2|D|17")=0,"",INDEX('Risk Register'!$A$7:$A$206,MATCH("2|D|17",'Risk Register'!$R$7:$R$206,0)))</f>
        <v/>
      </c>
      <c r="K26" s="25" t="str">
        <f>IF(COUNTIF('Risk Register'!$R$7:$R$206,"2|D|18")=0,"",INDEX('Risk Register'!$A$7:$A$206,MATCH("2|D|18",'Risk Register'!$R$7:$R$206,0)))</f>
        <v/>
      </c>
      <c r="L26" s="25" t="str">
        <f>IF(COUNTIF('Risk Register'!$R$7:$R$206,"2|D|19")=0,"",INDEX('Risk Register'!$A$7:$A$206,MATCH("2|D|19",'Risk Register'!$R$7:$R$206,0)))</f>
        <v/>
      </c>
      <c r="M26" s="26" t="str">
        <f>IF(COUNTIF('Risk Register'!$R$7:$R$206,"2|D|20")=0,"",INDEX('Risk Register'!$A$7:$A$206,MATCH("2|D|20",'Risk Register'!$R$7:$R$206,0)))</f>
        <v/>
      </c>
      <c r="N26" s="16" t="str">
        <f>IF(COUNTIF('Risk Register'!$R$7:$R$206,"3|D|16")=0,"",INDEX('Risk Register'!$A$7:$A$206,MATCH("3|D|16",'Risk Register'!$R$7:$R$206,0)))</f>
        <v/>
      </c>
      <c r="O26" s="12" t="str">
        <f>IF(COUNTIF('Risk Register'!$R$7:$R$206,"3|D|17")=0,"",INDEX('Risk Register'!$A$7:$A$206,MATCH("3|D|17",'Risk Register'!$R$7:$R$206,0)))</f>
        <v/>
      </c>
      <c r="P26" s="12" t="str">
        <f>IF(COUNTIF('Risk Register'!$R$7:$R$206,"3|D|18")=0,"",INDEX('Risk Register'!$A$7:$A$206,MATCH("3|D|18",'Risk Register'!$R$7:$R$206,0)))</f>
        <v/>
      </c>
      <c r="Q26" s="12" t="str">
        <f>IF(COUNTIF('Risk Register'!$R$7:$R$206,"3|D|19")=0,"",INDEX('Risk Register'!$A$7:$A$206,MATCH("3|D|19",'Risk Register'!$R$7:$R$206,0)))</f>
        <v/>
      </c>
      <c r="R26" s="17" t="str">
        <f>IF(COUNTIF('Risk Register'!$R$7:$R$206,"3|D|20")=0,"",INDEX('Risk Register'!$A$7:$A$206,MATCH("3|D|20",'Risk Register'!$R$7:$R$206,0)))</f>
        <v/>
      </c>
      <c r="S26" s="16" t="str">
        <f>IF(COUNTIF('Risk Register'!$R$7:$R$206,"4|D|16")=0,"",INDEX('Risk Register'!$A$7:$A$206,MATCH("4|D|16",'Risk Register'!$R$7:$R$206,0)))</f>
        <v/>
      </c>
      <c r="T26" s="12" t="str">
        <f>IF(COUNTIF('Risk Register'!$R$7:$R$206,"4|D|17")=0,"",INDEX('Risk Register'!$A$7:$A$206,MATCH("4|D|17",'Risk Register'!$R$7:$R$206,0)))</f>
        <v/>
      </c>
      <c r="U26" s="12" t="str">
        <f>IF(COUNTIF('Risk Register'!$R$7:$R$206,"4|D|18")=0,"",INDEX('Risk Register'!$A$7:$A$206,MATCH("4|D|18",'Risk Register'!$R$7:$R$206,0)))</f>
        <v/>
      </c>
      <c r="V26" s="12" t="str">
        <f>IF(COUNTIF('Risk Register'!$R$7:$R$206,"4|D|19")=0,"",INDEX('Risk Register'!$A$7:$A$206,MATCH("4|D|19",'Risk Register'!$R$7:$R$206,0)))</f>
        <v/>
      </c>
      <c r="W26" s="17" t="str">
        <f>IF(COUNTIF('Risk Register'!$R$7:$R$206,"4|D|20")=0,"",INDEX('Risk Register'!$A$7:$A$206,MATCH("4|D|20",'Risk Register'!$R$7:$R$206,0)))</f>
        <v/>
      </c>
      <c r="X26" s="16" t="str">
        <f>IF(COUNTIF('Risk Register'!$R$7:$R$206,"5|D|16")=0,"",INDEX('Risk Register'!$A$7:$A$206,MATCH("5|D|16",'Risk Register'!$R$7:$R$206,0)))</f>
        <v/>
      </c>
      <c r="Y26" s="12" t="str">
        <f>IF(COUNTIF('Risk Register'!$R$7:$R$206,"5|D|17")=0,"",INDEX('Risk Register'!$A$7:$A$206,MATCH("5|D|17",'Risk Register'!$R$7:$R$206,0)))</f>
        <v/>
      </c>
      <c r="Z26" s="12" t="str">
        <f>IF(COUNTIF('Risk Register'!$R$7:$R$206,"5|D|18")=0,"",INDEX('Risk Register'!$A$7:$A$206,MATCH("5|D|18",'Risk Register'!$R$7:$R$206,0)))</f>
        <v/>
      </c>
      <c r="AA26" s="12" t="str">
        <f>IF(COUNTIF('Risk Register'!$R$7:$R$206,"5|D|19")=0,"",INDEX('Risk Register'!$A$7:$A$206,MATCH("5|D|19",'Risk Register'!$R$7:$R$206,0)))</f>
        <v/>
      </c>
      <c r="AB26" s="17" t="str">
        <f>IF(COUNTIF('Risk Register'!$R$7:$R$206,"5|D|20")=0,"",INDEX('Risk Register'!$A$7:$A$206,MATCH("5|D|20",'Risk Register'!$R$7:$R$206,0)))</f>
        <v/>
      </c>
      <c r="AC26" s="34" t="str">
        <f>IF(COUNTIF('Risk Register'!$R$7:$R$206,"6|D|16")=0,"",INDEX('Risk Register'!$A$7:$A$206,MATCH("6|D|16",'Risk Register'!$R$7:$R$206,0)))</f>
        <v/>
      </c>
      <c r="AD26" s="11" t="str">
        <f>IF(COUNTIF('Risk Register'!$R$7:$R$206,"6|D|17")=0,"",INDEX('Risk Register'!$A$7:$A$206,MATCH("6|D|17",'Risk Register'!$R$7:$R$206,0)))</f>
        <v/>
      </c>
      <c r="AE26" s="11" t="str">
        <f>IF(COUNTIF('Risk Register'!$R$7:$R$206,"6|D|18")=0,"",INDEX('Risk Register'!$A$7:$A$206,MATCH("6|D|18",'Risk Register'!$R$7:$R$206,0)))</f>
        <v/>
      </c>
      <c r="AF26" s="11" t="str">
        <f>IF(COUNTIF('Risk Register'!$R$7:$R$206,"6|D|19")=0,"",INDEX('Risk Register'!$A$7:$A$206,MATCH("6|D|19",'Risk Register'!$R$7:$R$206,0)))</f>
        <v/>
      </c>
      <c r="AG26" s="35" t="str">
        <f>IF(COUNTIF('Risk Register'!$R$7:$R$206,"6|D|20")=0,"",INDEX('Risk Register'!$A$7:$A$206,MATCH("6|D|20",'Risk Register'!$R$7:$R$206,0)))</f>
        <v/>
      </c>
      <c r="AH26" s="34" t="str">
        <f>IF(COUNTIF('Risk Register'!$R$7:$R$206,"7|D|16")=0,"",INDEX('Risk Register'!$A$7:$A$206,MATCH("7|D|16",'Risk Register'!$R$7:$R$206,0)))</f>
        <v/>
      </c>
      <c r="AI26" s="11" t="str">
        <f>IF(COUNTIF('Risk Register'!$R$7:$R$206,"7|D|17")=0,"",INDEX('Risk Register'!$A$7:$A$206,MATCH("7|D|17",'Risk Register'!$R$7:$R$206,0)))</f>
        <v/>
      </c>
      <c r="AJ26" s="11" t="str">
        <f>IF(COUNTIF('Risk Register'!$R$7:$R$206,"7|D|18")=0,"",INDEX('Risk Register'!$A$7:$A$206,MATCH("7|D|18",'Risk Register'!$R$7:$R$206,0)))</f>
        <v/>
      </c>
      <c r="AK26" s="11" t="str">
        <f>IF(COUNTIF('Risk Register'!$R$7:$R$206,"7|D|19")=0,"",INDEX('Risk Register'!$A$7:$A$206,MATCH("7|D|19",'Risk Register'!$R$7:$R$206,0)))</f>
        <v/>
      </c>
      <c r="AL26" s="35" t="str">
        <f>IF(COUNTIF('Risk Register'!$R$7:$R$206,"7|D|20")=0,"",INDEX('Risk Register'!$A$7:$A$206,MATCH("7|D|20",'Risk Register'!$R$7:$R$206,0)))</f>
        <v/>
      </c>
      <c r="AM26" s="34" t="str">
        <f>IF(COUNTIF('Risk Register'!$R$7:$R$206,"8|D|16")=0,"",INDEX('Risk Register'!$A$7:$A$206,MATCH("8|D|16",'Risk Register'!$R$7:$R$206,0)))</f>
        <v/>
      </c>
      <c r="AN26" s="11" t="str">
        <f>IF(COUNTIF('Risk Register'!$R$7:$R$206,"8|D|17")=0,"",INDEX('Risk Register'!$A$7:$A$206,MATCH("8|D|17",'Risk Register'!$R$7:$R$206,0)))</f>
        <v/>
      </c>
      <c r="AO26" s="11" t="str">
        <f>IF(COUNTIF('Risk Register'!$R$7:$R$206,"8|D|18")=0,"",INDEX('Risk Register'!$A$7:$A$206,MATCH("8|D|18",'Risk Register'!$R$7:$R$206,0)))</f>
        <v/>
      </c>
      <c r="AP26" s="11" t="str">
        <f>IF(COUNTIF('Risk Register'!$R$7:$R$206,"8|D|19")=0,"",INDEX('Risk Register'!$A$7:$A$206,MATCH("8|D|19",'Risk Register'!$R$7:$R$206,0)))</f>
        <v/>
      </c>
      <c r="AQ26" s="35" t="str">
        <f>IF(COUNTIF('Risk Register'!$R$7:$R$206,"8|D|20")=0,"",INDEX('Risk Register'!$A$7:$A$206,MATCH("8|D|20",'Risk Register'!$R$7:$R$206,0)))</f>
        <v/>
      </c>
      <c r="AS26" s="10">
        <f>IFERROR(INDEX('Risk Register'!$A$7:$A$206,19),"")</f>
        <v>19</v>
      </c>
      <c r="AT26" s="10" t="str">
        <f>IFERROR(INDEX('Risk Register'!$B$7:$B$206,19),"")</f>
        <v>Well control due to PPFG uncertainty and limited data from off-set wells</v>
      </c>
    </row>
    <row r="27" spans="2:46" ht="18" customHeight="1">
      <c r="B27" s="56"/>
      <c r="C27" s="58"/>
      <c r="D27" s="27" t="str">
        <f>IF(COUNTIF('Risk Register'!$R$7:$R$206,"1|D|21")=0,"",INDEX('Risk Register'!$A$7:$A$206,MATCH("1|D|21",'Risk Register'!$R$7:$R$206,0)))</f>
        <v/>
      </c>
      <c r="E27" s="28" t="str">
        <f>IF(COUNTIF('Risk Register'!$R$7:$R$206,"1|D|22")=0,"",INDEX('Risk Register'!$A$7:$A$206,MATCH("1|D|22",'Risk Register'!$R$7:$R$206,0)))</f>
        <v/>
      </c>
      <c r="F27" s="28" t="str">
        <f>IF(COUNTIF('Risk Register'!$R$7:$R$206,"1|D|23")=0,"",INDEX('Risk Register'!$A$7:$A$206,MATCH("1|D|23",'Risk Register'!$R$7:$R$206,0)))</f>
        <v/>
      </c>
      <c r="G27" s="28" t="str">
        <f>IF(COUNTIF('Risk Register'!$R$7:$R$206,"1|D|24")=0,"",INDEX('Risk Register'!$A$7:$A$206,MATCH("1|D|24",'Risk Register'!$R$7:$R$206,0)))</f>
        <v/>
      </c>
      <c r="H27" s="29" t="str">
        <f>IF(COUNTIF('Risk Register'!$R$7:$R$206,"1|D|25")=0,"",INDEX('Risk Register'!$A$7:$A$206,MATCH("1|D|25",'Risk Register'!$R$7:$R$206,0)))</f>
        <v/>
      </c>
      <c r="I27" s="27" t="str">
        <f>IF(COUNTIF('Risk Register'!$R$7:$R$206,"2|D|21")=0,"",INDEX('Risk Register'!$A$7:$A$206,MATCH("2|D|21",'Risk Register'!$R$7:$R$206,0)))</f>
        <v/>
      </c>
      <c r="J27" s="28" t="str">
        <f>IF(COUNTIF('Risk Register'!$R$7:$R$206,"2|D|22")=0,"",INDEX('Risk Register'!$A$7:$A$206,MATCH("2|D|22",'Risk Register'!$R$7:$R$206,0)))</f>
        <v/>
      </c>
      <c r="K27" s="28" t="str">
        <f>IF(COUNTIF('Risk Register'!$R$7:$R$206,"2|D|23")=0,"",INDEX('Risk Register'!$A$7:$A$206,MATCH("2|D|23",'Risk Register'!$R$7:$R$206,0)))</f>
        <v/>
      </c>
      <c r="L27" s="28" t="str">
        <f>IF(COUNTIF('Risk Register'!$R$7:$R$206,"2|D|24")=0,"",INDEX('Risk Register'!$A$7:$A$206,MATCH("2|D|24",'Risk Register'!$R$7:$R$206,0)))</f>
        <v/>
      </c>
      <c r="M27" s="29" t="str">
        <f>IF(COUNTIF('Risk Register'!$R$7:$R$206,"2|D|25")=0,"",INDEX('Risk Register'!$A$7:$A$206,MATCH("2|D|25",'Risk Register'!$R$7:$R$206,0)))</f>
        <v/>
      </c>
      <c r="N27" s="18" t="str">
        <f>IF(COUNTIF('Risk Register'!$R$7:$R$206,"3|D|21")=0,"",INDEX('Risk Register'!$A$7:$A$206,MATCH("3|D|21",'Risk Register'!$R$7:$R$206,0)))</f>
        <v/>
      </c>
      <c r="O27" s="19" t="str">
        <f>IF(COUNTIF('Risk Register'!$R$7:$R$206,"3|D|22")=0,"",INDEX('Risk Register'!$A$7:$A$206,MATCH("3|D|22",'Risk Register'!$R$7:$R$206,0)))</f>
        <v/>
      </c>
      <c r="P27" s="19" t="str">
        <f>IF(COUNTIF('Risk Register'!$R$7:$R$206,"3|D|23")=0,"",INDEX('Risk Register'!$A$7:$A$206,MATCH("3|D|23",'Risk Register'!$R$7:$R$206,0)))</f>
        <v/>
      </c>
      <c r="Q27" s="19" t="str">
        <f>IF(COUNTIF('Risk Register'!$R$7:$R$206,"3|D|24")=0,"",INDEX('Risk Register'!$A$7:$A$206,MATCH("3|D|24",'Risk Register'!$R$7:$R$206,0)))</f>
        <v/>
      </c>
      <c r="R27" s="20" t="str">
        <f>IF(COUNTIF('Risk Register'!$R$7:$R$206,"3|D|25")=0,"",INDEX('Risk Register'!$A$7:$A$206,MATCH("3|D|25",'Risk Register'!$R$7:$R$206,0)))</f>
        <v/>
      </c>
      <c r="S27" s="18" t="str">
        <f>IF(COUNTIF('Risk Register'!$R$7:$R$206,"4|D|21")=0,"",INDEX('Risk Register'!$A$7:$A$206,MATCH("4|D|21",'Risk Register'!$R$7:$R$206,0)))</f>
        <v/>
      </c>
      <c r="T27" s="19" t="str">
        <f>IF(COUNTIF('Risk Register'!$R$7:$R$206,"4|D|22")=0,"",INDEX('Risk Register'!$A$7:$A$206,MATCH("4|D|22",'Risk Register'!$R$7:$R$206,0)))</f>
        <v/>
      </c>
      <c r="U27" s="19" t="str">
        <f>IF(COUNTIF('Risk Register'!$R$7:$R$206,"4|D|23")=0,"",INDEX('Risk Register'!$A$7:$A$206,MATCH("4|D|23",'Risk Register'!$R$7:$R$206,0)))</f>
        <v/>
      </c>
      <c r="V27" s="19" t="str">
        <f>IF(COUNTIF('Risk Register'!$R$7:$R$206,"4|D|24")=0,"",INDEX('Risk Register'!$A$7:$A$206,MATCH("4|D|24",'Risk Register'!$R$7:$R$206,0)))</f>
        <v/>
      </c>
      <c r="W27" s="20" t="str">
        <f>IF(COUNTIF('Risk Register'!$R$7:$R$206,"4|D|25")=0,"",INDEX('Risk Register'!$A$7:$A$206,MATCH("4|D|25",'Risk Register'!$R$7:$R$206,0)))</f>
        <v/>
      </c>
      <c r="X27" s="18" t="str">
        <f>IF(COUNTIF('Risk Register'!$R$7:$R$206,"5|D|21")=0,"",INDEX('Risk Register'!$A$7:$A$206,MATCH("5|D|21",'Risk Register'!$R$7:$R$206,0)))</f>
        <v/>
      </c>
      <c r="Y27" s="19" t="str">
        <f>IF(COUNTIF('Risk Register'!$R$7:$R$206,"5|D|22")=0,"",INDEX('Risk Register'!$A$7:$A$206,MATCH("5|D|22",'Risk Register'!$R$7:$R$206,0)))</f>
        <v/>
      </c>
      <c r="Z27" s="19" t="str">
        <f>IF(COUNTIF('Risk Register'!$R$7:$R$206,"5|D|23")=0,"",INDEX('Risk Register'!$A$7:$A$206,MATCH("5|D|23",'Risk Register'!$R$7:$R$206,0)))</f>
        <v/>
      </c>
      <c r="AA27" s="19" t="str">
        <f>IF(COUNTIF('Risk Register'!$R$7:$R$206,"5|D|24")=0,"",INDEX('Risk Register'!$A$7:$A$206,MATCH("5|D|24",'Risk Register'!$R$7:$R$206,0)))</f>
        <v/>
      </c>
      <c r="AB27" s="20" t="str">
        <f>IF(COUNTIF('Risk Register'!$R$7:$R$206,"5|D|25")=0,"",INDEX('Risk Register'!$A$7:$A$206,MATCH("5|D|25",'Risk Register'!$R$7:$R$206,0)))</f>
        <v/>
      </c>
      <c r="AC27" s="36" t="str">
        <f>IF(COUNTIF('Risk Register'!$R$7:$R$206,"6|D|21")=0,"",INDEX('Risk Register'!$A$7:$A$206,MATCH("6|D|21",'Risk Register'!$R$7:$R$206,0)))</f>
        <v/>
      </c>
      <c r="AD27" s="37" t="str">
        <f>IF(COUNTIF('Risk Register'!$R$7:$R$206,"6|D|22")=0,"",INDEX('Risk Register'!$A$7:$A$206,MATCH("6|D|22",'Risk Register'!$R$7:$R$206,0)))</f>
        <v/>
      </c>
      <c r="AE27" s="37" t="str">
        <f>IF(COUNTIF('Risk Register'!$R$7:$R$206,"6|D|23")=0,"",INDEX('Risk Register'!$A$7:$A$206,MATCH("6|D|23",'Risk Register'!$R$7:$R$206,0)))</f>
        <v/>
      </c>
      <c r="AF27" s="37" t="str">
        <f>IF(COUNTIF('Risk Register'!$R$7:$R$206,"6|D|24")=0,"",INDEX('Risk Register'!$A$7:$A$206,MATCH("6|D|24",'Risk Register'!$R$7:$R$206,0)))</f>
        <v/>
      </c>
      <c r="AG27" s="38" t="str">
        <f>IF(COUNTIF('Risk Register'!$R$7:$R$206,"6|D|25")=0,"",INDEX('Risk Register'!$A$7:$A$206,MATCH("6|D|25",'Risk Register'!$R$7:$R$206,0)))</f>
        <v/>
      </c>
      <c r="AH27" s="36" t="str">
        <f>IF(COUNTIF('Risk Register'!$R$7:$R$206,"7|D|21")=0,"",INDEX('Risk Register'!$A$7:$A$206,MATCH("7|D|21",'Risk Register'!$R$7:$R$206,0)))</f>
        <v/>
      </c>
      <c r="AI27" s="37" t="str">
        <f>IF(COUNTIF('Risk Register'!$R$7:$R$206,"7|D|22")=0,"",INDEX('Risk Register'!$A$7:$A$206,MATCH("7|D|22",'Risk Register'!$R$7:$R$206,0)))</f>
        <v/>
      </c>
      <c r="AJ27" s="37" t="str">
        <f>IF(COUNTIF('Risk Register'!$R$7:$R$206,"7|D|23")=0,"",INDEX('Risk Register'!$A$7:$A$206,MATCH("7|D|23",'Risk Register'!$R$7:$R$206,0)))</f>
        <v/>
      </c>
      <c r="AK27" s="37" t="str">
        <f>IF(COUNTIF('Risk Register'!$R$7:$R$206,"7|D|24")=0,"",INDEX('Risk Register'!$A$7:$A$206,MATCH("7|D|24",'Risk Register'!$R$7:$R$206,0)))</f>
        <v/>
      </c>
      <c r="AL27" s="38" t="str">
        <f>IF(COUNTIF('Risk Register'!$R$7:$R$206,"7|D|25")=0,"",INDEX('Risk Register'!$A$7:$A$206,MATCH("7|D|25",'Risk Register'!$R$7:$R$206,0)))</f>
        <v/>
      </c>
      <c r="AM27" s="36" t="str">
        <f>IF(COUNTIF('Risk Register'!$R$7:$R$206,"8|D|21")=0,"",INDEX('Risk Register'!$A$7:$A$206,MATCH("8|D|21",'Risk Register'!$R$7:$R$206,0)))</f>
        <v/>
      </c>
      <c r="AN27" s="37" t="str">
        <f>IF(COUNTIF('Risk Register'!$R$7:$R$206,"8|D|22")=0,"",INDEX('Risk Register'!$A$7:$A$206,MATCH("8|D|22",'Risk Register'!$R$7:$R$206,0)))</f>
        <v/>
      </c>
      <c r="AO27" s="37" t="str">
        <f>IF(COUNTIF('Risk Register'!$R$7:$R$206,"8|D|23")=0,"",INDEX('Risk Register'!$A$7:$A$206,MATCH("8|D|23",'Risk Register'!$R$7:$R$206,0)))</f>
        <v/>
      </c>
      <c r="AP27" s="37" t="str">
        <f>IF(COUNTIF('Risk Register'!$R$7:$R$206,"8|D|24")=0,"",INDEX('Risk Register'!$A$7:$A$206,MATCH("8|D|24",'Risk Register'!$R$7:$R$206,0)))</f>
        <v/>
      </c>
      <c r="AQ27" s="38" t="str">
        <f>IF(COUNTIF('Risk Register'!$R$7:$R$206,"8|D|25")=0,"",INDEX('Risk Register'!$A$7:$A$206,MATCH("8|D|25",'Risk Register'!$R$7:$R$206,0)))</f>
        <v/>
      </c>
      <c r="AS27" s="10">
        <f>IFERROR(INDEX('Risk Register'!$A$7:$A$206,20),"")</f>
        <v>20</v>
      </c>
      <c r="AT27" s="10" t="str">
        <f>IFERROR(INDEX('Risk Register'!$B$7:$B$206,20),"")</f>
        <v>Incorrect geological identification of shoedepth</v>
      </c>
    </row>
    <row r="28" spans="2:46" ht="18" customHeight="1">
      <c r="B28" s="56"/>
      <c r="C28" s="58" t="s">
        <v>32</v>
      </c>
      <c r="D28" s="21">
        <f>IF(COUNTIF('Risk Register'!$R$7:$R$206,"1|E|1")=0,"",INDEX('Risk Register'!$A$7:$A$206,MATCH("1|E|1",'Risk Register'!$R$7:$R$206,0)))</f>
        <v>2</v>
      </c>
      <c r="E28" s="22">
        <f>IF(COUNTIF('Risk Register'!$R$7:$R$206,"1|E|2")=0,"",INDEX('Risk Register'!$A$7:$A$206,MATCH("1|E|2",'Risk Register'!$R$7:$R$206,0)))</f>
        <v>13</v>
      </c>
      <c r="F28" s="22" t="str">
        <f>IF(COUNTIF('Risk Register'!$R$7:$R$206,"1|E|3")=0,"",INDEX('Risk Register'!$A$7:$A$206,MATCH("1|E|3",'Risk Register'!$R$7:$R$206,0)))</f>
        <v/>
      </c>
      <c r="G28" s="22" t="str">
        <f>IF(COUNTIF('Risk Register'!$R$7:$R$206,"1|E|4")=0,"",INDEX('Risk Register'!$A$7:$A$206,MATCH("1|E|4",'Risk Register'!$R$7:$R$206,0)))</f>
        <v/>
      </c>
      <c r="H28" s="23" t="str">
        <f>IF(COUNTIF('Risk Register'!$R$7:$R$206,"1|E|5")=0,"",INDEX('Risk Register'!$A$7:$A$206,MATCH("1|E|5",'Risk Register'!$R$7:$R$206,0)))</f>
        <v/>
      </c>
      <c r="I28" s="21" t="str">
        <f>IF(COUNTIF('Risk Register'!$R$7:$R$206,"2|E|1")=0,"",INDEX('Risk Register'!$A$7:$A$206,MATCH("2|E|1",'Risk Register'!$R$7:$R$206,0)))</f>
        <v/>
      </c>
      <c r="J28" s="22" t="str">
        <f>IF(COUNTIF('Risk Register'!$R$7:$R$206,"2|E|2")=0,"",INDEX('Risk Register'!$A$7:$A$206,MATCH("2|E|2",'Risk Register'!$R$7:$R$206,0)))</f>
        <v/>
      </c>
      <c r="K28" s="22" t="str">
        <f>IF(COUNTIF('Risk Register'!$R$7:$R$206,"2|E|3")=0,"",INDEX('Risk Register'!$A$7:$A$206,MATCH("2|E|3",'Risk Register'!$R$7:$R$206,0)))</f>
        <v/>
      </c>
      <c r="L28" s="22" t="str">
        <f>IF(COUNTIF('Risk Register'!$R$7:$R$206,"2|E|4")=0,"",INDEX('Risk Register'!$A$7:$A$206,MATCH("2|E|4",'Risk Register'!$R$7:$R$206,0)))</f>
        <v/>
      </c>
      <c r="M28" s="23" t="str">
        <f>IF(COUNTIF('Risk Register'!$R$7:$R$206,"2|E|5")=0,"",INDEX('Risk Register'!$A$7:$A$206,MATCH("2|E|5",'Risk Register'!$R$7:$R$206,0)))</f>
        <v/>
      </c>
      <c r="N28" s="21">
        <f>IF(COUNTIF('Risk Register'!$R$7:$R$206,"3|E|1")=0,"",INDEX('Risk Register'!$A$7:$A$206,MATCH("3|E|1",'Risk Register'!$R$7:$R$206,0)))</f>
        <v>7</v>
      </c>
      <c r="O28" s="22">
        <f>IF(COUNTIF('Risk Register'!$R$7:$R$206,"3|E|2")=0,"",INDEX('Risk Register'!$A$7:$A$206,MATCH("3|E|2",'Risk Register'!$R$7:$R$206,0)))</f>
        <v>23</v>
      </c>
      <c r="P28" s="22">
        <f>IF(COUNTIF('Risk Register'!$R$7:$R$206,"3|E|3")=0,"",INDEX('Risk Register'!$A$7:$A$206,MATCH("3|E|3",'Risk Register'!$R$7:$R$206,0)))</f>
        <v>29</v>
      </c>
      <c r="Q28" s="22" t="str">
        <f>IF(COUNTIF('Risk Register'!$R$7:$R$206,"3|E|4")=0,"",INDEX('Risk Register'!$A$7:$A$206,MATCH("3|E|4",'Risk Register'!$R$7:$R$206,0)))</f>
        <v/>
      </c>
      <c r="R28" s="23" t="str">
        <f>IF(COUNTIF('Risk Register'!$R$7:$R$206,"3|E|5")=0,"",INDEX('Risk Register'!$A$7:$A$206,MATCH("3|E|5",'Risk Register'!$R$7:$R$206,0)))</f>
        <v/>
      </c>
      <c r="S28" s="13">
        <f>IF(COUNTIF('Risk Register'!$R$7:$R$206,"4|E|1")=0,"",INDEX('Risk Register'!$A$7:$A$206,MATCH("4|E|1",'Risk Register'!$R$7:$R$206,0)))</f>
        <v>4</v>
      </c>
      <c r="T28" s="14">
        <f>IF(COUNTIF('Risk Register'!$R$7:$R$206,"4|E|2")=0,"",INDEX('Risk Register'!$A$7:$A$206,MATCH("4|E|2",'Risk Register'!$R$7:$R$206,0)))</f>
        <v>5</v>
      </c>
      <c r="U28" s="14" t="str">
        <f>IF(COUNTIF('Risk Register'!$R$7:$R$206,"4|E|3")=0,"",INDEX('Risk Register'!$A$7:$A$206,MATCH("4|E|3",'Risk Register'!$R$7:$R$206,0)))</f>
        <v/>
      </c>
      <c r="V28" s="14" t="str">
        <f>IF(COUNTIF('Risk Register'!$R$7:$R$206,"4|E|4")=0,"",INDEX('Risk Register'!$A$7:$A$206,MATCH("4|E|4",'Risk Register'!$R$7:$R$206,0)))</f>
        <v/>
      </c>
      <c r="W28" s="15" t="str">
        <f>IF(COUNTIF('Risk Register'!$R$7:$R$206,"4|E|5")=0,"",INDEX('Risk Register'!$A$7:$A$206,MATCH("4|E|5",'Risk Register'!$R$7:$R$206,0)))</f>
        <v/>
      </c>
      <c r="X28" s="13">
        <f>IF(COUNTIF('Risk Register'!$R$7:$R$206,"5|E|1")=0,"",INDEX('Risk Register'!$A$7:$A$206,MATCH("5|E|1",'Risk Register'!$R$7:$R$206,0)))</f>
        <v>21</v>
      </c>
      <c r="Y28" s="14" t="str">
        <f>IF(COUNTIF('Risk Register'!$R$7:$R$206,"5|E|2")=0,"",INDEX('Risk Register'!$A$7:$A$206,MATCH("5|E|2",'Risk Register'!$R$7:$R$206,0)))</f>
        <v/>
      </c>
      <c r="Z28" s="14" t="str">
        <f>IF(COUNTIF('Risk Register'!$R$7:$R$206,"5|E|3")=0,"",INDEX('Risk Register'!$A$7:$A$206,MATCH("5|E|3",'Risk Register'!$R$7:$R$206,0)))</f>
        <v/>
      </c>
      <c r="AA28" s="14" t="str">
        <f>IF(COUNTIF('Risk Register'!$R$7:$R$206,"5|E|4")=0,"",INDEX('Risk Register'!$A$7:$A$206,MATCH("5|E|4",'Risk Register'!$R$7:$R$206,0)))</f>
        <v/>
      </c>
      <c r="AB28" s="15" t="str">
        <f>IF(COUNTIF('Risk Register'!$R$7:$R$206,"5|E|5")=0,"",INDEX('Risk Register'!$A$7:$A$206,MATCH("5|E|5",'Risk Register'!$R$7:$R$206,0)))</f>
        <v/>
      </c>
      <c r="AC28" s="13" t="str">
        <f>IF(COUNTIF('Risk Register'!$R$7:$R$206,"6|E|1")=0,"",INDEX('Risk Register'!$A$7:$A$206,MATCH("6|E|1",'Risk Register'!$R$7:$R$206,0)))</f>
        <v/>
      </c>
      <c r="AD28" s="14" t="str">
        <f>IF(COUNTIF('Risk Register'!$R$7:$R$206,"6|E|2")=0,"",INDEX('Risk Register'!$A$7:$A$206,MATCH("6|E|2",'Risk Register'!$R$7:$R$206,0)))</f>
        <v/>
      </c>
      <c r="AE28" s="14" t="str">
        <f>IF(COUNTIF('Risk Register'!$R$7:$R$206,"6|E|3")=0,"",INDEX('Risk Register'!$A$7:$A$206,MATCH("6|E|3",'Risk Register'!$R$7:$R$206,0)))</f>
        <v/>
      </c>
      <c r="AF28" s="14" t="str">
        <f>IF(COUNTIF('Risk Register'!$R$7:$R$206,"6|E|4")=0,"",INDEX('Risk Register'!$A$7:$A$206,MATCH("6|E|4",'Risk Register'!$R$7:$R$206,0)))</f>
        <v/>
      </c>
      <c r="AG28" s="15" t="str">
        <f>IF(COUNTIF('Risk Register'!$R$7:$R$206,"6|E|5")=0,"",INDEX('Risk Register'!$A$7:$A$206,MATCH("6|E|5",'Risk Register'!$R$7:$R$206,0)))</f>
        <v/>
      </c>
      <c r="AH28" s="13" t="str">
        <f>IF(COUNTIF('Risk Register'!$R$7:$R$206,"7|E|1")=0,"",INDEX('Risk Register'!$A$7:$A$206,MATCH("7|E|1",'Risk Register'!$R$7:$R$206,0)))</f>
        <v/>
      </c>
      <c r="AI28" s="14" t="str">
        <f>IF(COUNTIF('Risk Register'!$R$7:$R$206,"7|E|2")=0,"",INDEX('Risk Register'!$A$7:$A$206,MATCH("7|E|2",'Risk Register'!$R$7:$R$206,0)))</f>
        <v/>
      </c>
      <c r="AJ28" s="14" t="str">
        <f>IF(COUNTIF('Risk Register'!$R$7:$R$206,"7|E|3")=0,"",INDEX('Risk Register'!$A$7:$A$206,MATCH("7|E|3",'Risk Register'!$R$7:$R$206,0)))</f>
        <v/>
      </c>
      <c r="AK28" s="14" t="str">
        <f>IF(COUNTIF('Risk Register'!$R$7:$R$206,"7|E|4")=0,"",INDEX('Risk Register'!$A$7:$A$206,MATCH("7|E|4",'Risk Register'!$R$7:$R$206,0)))</f>
        <v/>
      </c>
      <c r="AL28" s="15" t="str">
        <f>IF(COUNTIF('Risk Register'!$R$7:$R$206,"7|E|5")=0,"",INDEX('Risk Register'!$A$7:$A$206,MATCH("7|E|5",'Risk Register'!$R$7:$R$206,0)))</f>
        <v/>
      </c>
      <c r="AM28" s="13" t="str">
        <f>IF(COUNTIF('Risk Register'!$R$7:$R$206,"8|E|1")=0,"",INDEX('Risk Register'!$A$7:$A$206,MATCH("8|E|1",'Risk Register'!$R$7:$R$206,0)))</f>
        <v/>
      </c>
      <c r="AN28" s="14" t="str">
        <f>IF(COUNTIF('Risk Register'!$R$7:$R$206,"8|E|2")=0,"",INDEX('Risk Register'!$A$7:$A$206,MATCH("8|E|2",'Risk Register'!$R$7:$R$206,0)))</f>
        <v/>
      </c>
      <c r="AO28" s="14" t="str">
        <f>IF(COUNTIF('Risk Register'!$R$7:$R$206,"8|E|3")=0,"",INDEX('Risk Register'!$A$7:$A$206,MATCH("8|E|3",'Risk Register'!$R$7:$R$206,0)))</f>
        <v/>
      </c>
      <c r="AP28" s="14" t="str">
        <f>IF(COUNTIF('Risk Register'!$R$7:$R$206,"8|E|4")=0,"",INDEX('Risk Register'!$A$7:$A$206,MATCH("8|E|4",'Risk Register'!$R$7:$R$206,0)))</f>
        <v/>
      </c>
      <c r="AQ28" s="15" t="str">
        <f>IF(COUNTIF('Risk Register'!$R$7:$R$206,"8|E|5")=0,"",INDEX('Risk Register'!$A$7:$A$206,MATCH("8|E|5",'Risk Register'!$R$7:$R$206,0)))</f>
        <v/>
      </c>
      <c r="AS28" s="10">
        <f>IFERROR(INDEX('Risk Register'!$A$7:$A$206,21),"")</f>
        <v>21</v>
      </c>
      <c r="AT28" s="10" t="str">
        <f>IFERROR(INDEX('Risk Register'!$B$7:$B$206,21),"")</f>
        <v>Top of cement not achieved as per planned</v>
      </c>
    </row>
    <row r="29" spans="2:46" ht="18" customHeight="1">
      <c r="B29" s="56"/>
      <c r="C29" s="58"/>
      <c r="D29" s="24" t="str">
        <f>IF(COUNTIF('Risk Register'!$R$7:$R$206,"1|E|6")=0,"",INDEX('Risk Register'!$A$7:$A$206,MATCH("1|E|6",'Risk Register'!$R$7:$R$206,0)))</f>
        <v/>
      </c>
      <c r="E29" s="25" t="str">
        <f>IF(COUNTIF('Risk Register'!$R$7:$R$206,"1|E|7")=0,"",INDEX('Risk Register'!$A$7:$A$206,MATCH("1|E|7",'Risk Register'!$R$7:$R$206,0)))</f>
        <v/>
      </c>
      <c r="F29" s="25" t="str">
        <f>IF(COUNTIF('Risk Register'!$R$7:$R$206,"1|E|8")=0,"",INDEX('Risk Register'!$A$7:$A$206,MATCH("1|E|8",'Risk Register'!$R$7:$R$206,0)))</f>
        <v/>
      </c>
      <c r="G29" s="25" t="str">
        <f>IF(COUNTIF('Risk Register'!$R$7:$R$206,"1|E|9")=0,"",INDEX('Risk Register'!$A$7:$A$206,MATCH("1|E|9",'Risk Register'!$R$7:$R$206,0)))</f>
        <v/>
      </c>
      <c r="H29" s="26" t="str">
        <f>IF(COUNTIF('Risk Register'!$R$7:$R$206,"1|E|10")=0,"",INDEX('Risk Register'!$A$7:$A$206,MATCH("1|E|10",'Risk Register'!$R$7:$R$206,0)))</f>
        <v/>
      </c>
      <c r="I29" s="24" t="str">
        <f>IF(COUNTIF('Risk Register'!$R$7:$R$206,"2|E|6")=0,"",INDEX('Risk Register'!$A$7:$A$206,MATCH("2|E|6",'Risk Register'!$R$7:$R$206,0)))</f>
        <v/>
      </c>
      <c r="J29" s="25" t="str">
        <f>IF(COUNTIF('Risk Register'!$R$7:$R$206,"2|E|7")=0,"",INDEX('Risk Register'!$A$7:$A$206,MATCH("2|E|7",'Risk Register'!$R$7:$R$206,0)))</f>
        <v/>
      </c>
      <c r="K29" s="25" t="str">
        <f>IF(COUNTIF('Risk Register'!$R$7:$R$206,"2|E|8")=0,"",INDEX('Risk Register'!$A$7:$A$206,MATCH("2|E|8",'Risk Register'!$R$7:$R$206,0)))</f>
        <v/>
      </c>
      <c r="L29" s="25" t="str">
        <f>IF(COUNTIF('Risk Register'!$R$7:$R$206,"2|E|9")=0,"",INDEX('Risk Register'!$A$7:$A$206,MATCH("2|E|9",'Risk Register'!$R$7:$R$206,0)))</f>
        <v/>
      </c>
      <c r="M29" s="26" t="str">
        <f>IF(COUNTIF('Risk Register'!$R$7:$R$206,"2|E|10")=0,"",INDEX('Risk Register'!$A$7:$A$206,MATCH("2|E|10",'Risk Register'!$R$7:$R$206,0)))</f>
        <v/>
      </c>
      <c r="N29" s="24" t="str">
        <f>IF(COUNTIF('Risk Register'!$R$7:$R$206,"3|E|6")=0,"",INDEX('Risk Register'!$A$7:$A$206,MATCH("3|E|6",'Risk Register'!$R$7:$R$206,0)))</f>
        <v/>
      </c>
      <c r="O29" s="25" t="str">
        <f>IF(COUNTIF('Risk Register'!$R$7:$R$206,"3|E|7")=0,"",INDEX('Risk Register'!$A$7:$A$206,MATCH("3|E|7",'Risk Register'!$R$7:$R$206,0)))</f>
        <v/>
      </c>
      <c r="P29" s="25" t="str">
        <f>IF(COUNTIF('Risk Register'!$R$7:$R$206,"3|E|8")=0,"",INDEX('Risk Register'!$A$7:$A$206,MATCH("3|E|8",'Risk Register'!$R$7:$R$206,0)))</f>
        <v/>
      </c>
      <c r="Q29" s="25" t="str">
        <f>IF(COUNTIF('Risk Register'!$R$7:$R$206,"3|E|9")=0,"",INDEX('Risk Register'!$A$7:$A$206,MATCH("3|E|9",'Risk Register'!$R$7:$R$206,0)))</f>
        <v/>
      </c>
      <c r="R29" s="26" t="str">
        <f>IF(COUNTIF('Risk Register'!$R$7:$R$206,"3|E|10")=0,"",INDEX('Risk Register'!$A$7:$A$206,MATCH("3|E|10",'Risk Register'!$R$7:$R$206,0)))</f>
        <v/>
      </c>
      <c r="S29" s="16" t="str">
        <f>IF(COUNTIF('Risk Register'!$R$7:$R$206,"4|E|6")=0,"",INDEX('Risk Register'!$A$7:$A$206,MATCH("4|E|6",'Risk Register'!$R$7:$R$206,0)))</f>
        <v/>
      </c>
      <c r="T29" s="12" t="str">
        <f>IF(COUNTIF('Risk Register'!$R$7:$R$206,"4|E|7")=0,"",INDEX('Risk Register'!$A$7:$A$206,MATCH("4|E|7",'Risk Register'!$R$7:$R$206,0)))</f>
        <v/>
      </c>
      <c r="U29" s="12" t="str">
        <f>IF(COUNTIF('Risk Register'!$R$7:$R$206,"4|E|8")=0,"",INDEX('Risk Register'!$A$7:$A$206,MATCH("4|E|8",'Risk Register'!$R$7:$R$206,0)))</f>
        <v/>
      </c>
      <c r="V29" s="12" t="str">
        <f>IF(COUNTIF('Risk Register'!$R$7:$R$206,"4|E|9")=0,"",INDEX('Risk Register'!$A$7:$A$206,MATCH("4|E|9",'Risk Register'!$R$7:$R$206,0)))</f>
        <v/>
      </c>
      <c r="W29" s="17" t="str">
        <f>IF(COUNTIF('Risk Register'!$R$7:$R$206,"4|E|10")=0,"",INDEX('Risk Register'!$A$7:$A$206,MATCH("4|E|10",'Risk Register'!$R$7:$R$206,0)))</f>
        <v/>
      </c>
      <c r="X29" s="16" t="str">
        <f>IF(COUNTIF('Risk Register'!$R$7:$R$206,"5|E|6")=0,"",INDEX('Risk Register'!$A$7:$A$206,MATCH("5|E|6",'Risk Register'!$R$7:$R$206,0)))</f>
        <v/>
      </c>
      <c r="Y29" s="12" t="str">
        <f>IF(COUNTIF('Risk Register'!$R$7:$R$206,"5|E|7")=0,"",INDEX('Risk Register'!$A$7:$A$206,MATCH("5|E|7",'Risk Register'!$R$7:$R$206,0)))</f>
        <v/>
      </c>
      <c r="Z29" s="12" t="str">
        <f>IF(COUNTIF('Risk Register'!$R$7:$R$206,"5|E|8")=0,"",INDEX('Risk Register'!$A$7:$A$206,MATCH("5|E|8",'Risk Register'!$R$7:$R$206,0)))</f>
        <v/>
      </c>
      <c r="AA29" s="12" t="str">
        <f>IF(COUNTIF('Risk Register'!$R$7:$R$206,"5|E|9")=0,"",INDEX('Risk Register'!$A$7:$A$206,MATCH("5|E|9",'Risk Register'!$R$7:$R$206,0)))</f>
        <v/>
      </c>
      <c r="AB29" s="17" t="str">
        <f>IF(COUNTIF('Risk Register'!$R$7:$R$206,"5|E|10")=0,"",INDEX('Risk Register'!$A$7:$A$206,MATCH("5|E|10",'Risk Register'!$R$7:$R$206,0)))</f>
        <v/>
      </c>
      <c r="AC29" s="16" t="str">
        <f>IF(COUNTIF('Risk Register'!$R$7:$R$206,"6|E|6")=0,"",INDEX('Risk Register'!$A$7:$A$206,MATCH("6|E|6",'Risk Register'!$R$7:$R$206,0)))</f>
        <v/>
      </c>
      <c r="AD29" s="12" t="str">
        <f>IF(COUNTIF('Risk Register'!$R$7:$R$206,"6|E|7")=0,"",INDEX('Risk Register'!$A$7:$A$206,MATCH("6|E|7",'Risk Register'!$R$7:$R$206,0)))</f>
        <v/>
      </c>
      <c r="AE29" s="12" t="str">
        <f>IF(COUNTIF('Risk Register'!$R$7:$R$206,"6|E|8")=0,"",INDEX('Risk Register'!$A$7:$A$206,MATCH("6|E|8",'Risk Register'!$R$7:$R$206,0)))</f>
        <v/>
      </c>
      <c r="AF29" s="12" t="str">
        <f>IF(COUNTIF('Risk Register'!$R$7:$R$206,"6|E|9")=0,"",INDEX('Risk Register'!$A$7:$A$206,MATCH("6|E|9",'Risk Register'!$R$7:$R$206,0)))</f>
        <v/>
      </c>
      <c r="AG29" s="17" t="str">
        <f>IF(COUNTIF('Risk Register'!$R$7:$R$206,"6|E|10")=0,"",INDEX('Risk Register'!$A$7:$A$206,MATCH("6|E|10",'Risk Register'!$R$7:$R$206,0)))</f>
        <v/>
      </c>
      <c r="AH29" s="16" t="str">
        <f>IF(COUNTIF('Risk Register'!$R$7:$R$206,"7|E|6")=0,"",INDEX('Risk Register'!$A$7:$A$206,MATCH("7|E|6",'Risk Register'!$R$7:$R$206,0)))</f>
        <v/>
      </c>
      <c r="AI29" s="12" t="str">
        <f>IF(COUNTIF('Risk Register'!$R$7:$R$206,"7|E|7")=0,"",INDEX('Risk Register'!$A$7:$A$206,MATCH("7|E|7",'Risk Register'!$R$7:$R$206,0)))</f>
        <v/>
      </c>
      <c r="AJ29" s="12" t="str">
        <f>IF(COUNTIF('Risk Register'!$R$7:$R$206,"7|E|8")=0,"",INDEX('Risk Register'!$A$7:$A$206,MATCH("7|E|8",'Risk Register'!$R$7:$R$206,0)))</f>
        <v/>
      </c>
      <c r="AK29" s="12" t="str">
        <f>IF(COUNTIF('Risk Register'!$R$7:$R$206,"7|E|9")=0,"",INDEX('Risk Register'!$A$7:$A$206,MATCH("7|E|9",'Risk Register'!$R$7:$R$206,0)))</f>
        <v/>
      </c>
      <c r="AL29" s="17" t="str">
        <f>IF(COUNTIF('Risk Register'!$R$7:$R$206,"7|E|10")=0,"",INDEX('Risk Register'!$A$7:$A$206,MATCH("7|E|10",'Risk Register'!$R$7:$R$206,0)))</f>
        <v/>
      </c>
      <c r="AM29" s="16" t="str">
        <f>IF(COUNTIF('Risk Register'!$R$7:$R$206,"8|E|6")=0,"",INDEX('Risk Register'!$A$7:$A$206,MATCH("8|E|6",'Risk Register'!$R$7:$R$206,0)))</f>
        <v/>
      </c>
      <c r="AN29" s="12" t="str">
        <f>IF(COUNTIF('Risk Register'!$R$7:$R$206,"8|E|7")=0,"",INDEX('Risk Register'!$A$7:$A$206,MATCH("8|E|7",'Risk Register'!$R$7:$R$206,0)))</f>
        <v/>
      </c>
      <c r="AO29" s="12" t="str">
        <f>IF(COUNTIF('Risk Register'!$R$7:$R$206,"8|E|8")=0,"",INDEX('Risk Register'!$A$7:$A$206,MATCH("8|E|8",'Risk Register'!$R$7:$R$206,0)))</f>
        <v/>
      </c>
      <c r="AP29" s="12" t="str">
        <f>IF(COUNTIF('Risk Register'!$R$7:$R$206,"8|E|9")=0,"",INDEX('Risk Register'!$A$7:$A$206,MATCH("8|E|9",'Risk Register'!$R$7:$R$206,0)))</f>
        <v/>
      </c>
      <c r="AQ29" s="17" t="str">
        <f>IF(COUNTIF('Risk Register'!$R$7:$R$206,"8|E|10")=0,"",INDEX('Risk Register'!$A$7:$A$206,MATCH("8|E|10",'Risk Register'!$R$7:$R$206,0)))</f>
        <v/>
      </c>
      <c r="AS29" s="10">
        <f>IFERROR(INDEX('Risk Register'!$A$7:$A$206,22),"")</f>
        <v>22</v>
      </c>
      <c r="AT29" s="10" t="str">
        <f>IFERROR(INDEX('Risk Register'!$B$7:$B$206,22),"")</f>
        <v>Down hole LWD / MWD tool failure</v>
      </c>
    </row>
    <row r="30" spans="2:46" ht="18" customHeight="1">
      <c r="B30" s="56"/>
      <c r="C30" s="58"/>
      <c r="D30" s="24" t="str">
        <f>IF(COUNTIF('Risk Register'!$R$7:$R$206,"1|E|11")=0,"",INDEX('Risk Register'!$A$7:$A$206,MATCH("1|E|11",'Risk Register'!$R$7:$R$206,0)))</f>
        <v/>
      </c>
      <c r="E30" s="25" t="str">
        <f>IF(COUNTIF('Risk Register'!$R$7:$R$206,"1|E|12")=0,"",INDEX('Risk Register'!$A$7:$A$206,MATCH("1|E|12",'Risk Register'!$R$7:$R$206,0)))</f>
        <v/>
      </c>
      <c r="F30" s="25" t="str">
        <f>IF(COUNTIF('Risk Register'!$R$7:$R$206,"1|E|13")=0,"",INDEX('Risk Register'!$A$7:$A$206,MATCH("1|E|13",'Risk Register'!$R$7:$R$206,0)))</f>
        <v/>
      </c>
      <c r="G30" s="25" t="str">
        <f>IF(COUNTIF('Risk Register'!$R$7:$R$206,"1|E|14")=0,"",INDEX('Risk Register'!$A$7:$A$206,MATCH("1|E|14",'Risk Register'!$R$7:$R$206,0)))</f>
        <v/>
      </c>
      <c r="H30" s="26" t="str">
        <f>IF(COUNTIF('Risk Register'!$R$7:$R$206,"1|E|15")=0,"",INDEX('Risk Register'!$A$7:$A$206,MATCH("1|E|15",'Risk Register'!$R$7:$R$206,0)))</f>
        <v/>
      </c>
      <c r="I30" s="24" t="str">
        <f>IF(COUNTIF('Risk Register'!$R$7:$R$206,"2|E|11")=0,"",INDEX('Risk Register'!$A$7:$A$206,MATCH("2|E|11",'Risk Register'!$R$7:$R$206,0)))</f>
        <v/>
      </c>
      <c r="J30" s="25" t="str">
        <f>IF(COUNTIF('Risk Register'!$R$7:$R$206,"2|E|12")=0,"",INDEX('Risk Register'!$A$7:$A$206,MATCH("2|E|12",'Risk Register'!$R$7:$R$206,0)))</f>
        <v/>
      </c>
      <c r="K30" s="25" t="str">
        <f>IF(COUNTIF('Risk Register'!$R$7:$R$206,"2|E|13")=0,"",INDEX('Risk Register'!$A$7:$A$206,MATCH("2|E|13",'Risk Register'!$R$7:$R$206,0)))</f>
        <v/>
      </c>
      <c r="L30" s="25" t="str">
        <f>IF(COUNTIF('Risk Register'!$R$7:$R$206,"2|E|14")=0,"",INDEX('Risk Register'!$A$7:$A$206,MATCH("2|E|14",'Risk Register'!$R$7:$R$206,0)))</f>
        <v/>
      </c>
      <c r="M30" s="26" t="str">
        <f>IF(COUNTIF('Risk Register'!$R$7:$R$206,"2|E|15")=0,"",INDEX('Risk Register'!$A$7:$A$206,MATCH("2|E|15",'Risk Register'!$R$7:$R$206,0)))</f>
        <v/>
      </c>
      <c r="N30" s="24" t="str">
        <f>IF(COUNTIF('Risk Register'!$R$7:$R$206,"3|E|11")=0,"",INDEX('Risk Register'!$A$7:$A$206,MATCH("3|E|11",'Risk Register'!$R$7:$R$206,0)))</f>
        <v/>
      </c>
      <c r="O30" s="25" t="str">
        <f>IF(COUNTIF('Risk Register'!$R$7:$R$206,"3|E|12")=0,"",INDEX('Risk Register'!$A$7:$A$206,MATCH("3|E|12",'Risk Register'!$R$7:$R$206,0)))</f>
        <v/>
      </c>
      <c r="P30" s="25" t="str">
        <f>IF(COUNTIF('Risk Register'!$R$7:$R$206,"3|E|13")=0,"",INDEX('Risk Register'!$A$7:$A$206,MATCH("3|E|13",'Risk Register'!$R$7:$R$206,0)))</f>
        <v/>
      </c>
      <c r="Q30" s="25" t="str">
        <f>IF(COUNTIF('Risk Register'!$R$7:$R$206,"3|E|14")=0,"",INDEX('Risk Register'!$A$7:$A$206,MATCH("3|E|14",'Risk Register'!$R$7:$R$206,0)))</f>
        <v/>
      </c>
      <c r="R30" s="26" t="str">
        <f>IF(COUNTIF('Risk Register'!$R$7:$R$206,"3|E|15")=0,"",INDEX('Risk Register'!$A$7:$A$206,MATCH("3|E|15",'Risk Register'!$R$7:$R$206,0)))</f>
        <v/>
      </c>
      <c r="S30" s="16" t="str">
        <f>IF(COUNTIF('Risk Register'!$R$7:$R$206,"4|E|11")=0,"",INDEX('Risk Register'!$A$7:$A$206,MATCH("4|E|11",'Risk Register'!$R$7:$R$206,0)))</f>
        <v/>
      </c>
      <c r="T30" s="12" t="str">
        <f>IF(COUNTIF('Risk Register'!$R$7:$R$206,"4|E|12")=0,"",INDEX('Risk Register'!$A$7:$A$206,MATCH("4|E|12",'Risk Register'!$R$7:$R$206,0)))</f>
        <v/>
      </c>
      <c r="U30" s="12" t="str">
        <f>IF(COUNTIF('Risk Register'!$R$7:$R$206,"4|E|13")=0,"",INDEX('Risk Register'!$A$7:$A$206,MATCH("4|E|13",'Risk Register'!$R$7:$R$206,0)))</f>
        <v/>
      </c>
      <c r="V30" s="12" t="str">
        <f>IF(COUNTIF('Risk Register'!$R$7:$R$206,"4|E|14")=0,"",INDEX('Risk Register'!$A$7:$A$206,MATCH("4|E|14",'Risk Register'!$R$7:$R$206,0)))</f>
        <v/>
      </c>
      <c r="W30" s="17" t="str">
        <f>IF(COUNTIF('Risk Register'!$R$7:$R$206,"4|E|15")=0,"",INDEX('Risk Register'!$A$7:$A$206,MATCH("4|E|15",'Risk Register'!$R$7:$R$206,0)))</f>
        <v/>
      </c>
      <c r="X30" s="16" t="str">
        <f>IF(COUNTIF('Risk Register'!$R$7:$R$206,"5|E|11")=0,"",INDEX('Risk Register'!$A$7:$A$206,MATCH("5|E|11",'Risk Register'!$R$7:$R$206,0)))</f>
        <v/>
      </c>
      <c r="Y30" s="12" t="str">
        <f>IF(COUNTIF('Risk Register'!$R$7:$R$206,"5|E|12")=0,"",INDEX('Risk Register'!$A$7:$A$206,MATCH("5|E|12",'Risk Register'!$R$7:$R$206,0)))</f>
        <v/>
      </c>
      <c r="Z30" s="12" t="str">
        <f>IF(COUNTIF('Risk Register'!$R$7:$R$206,"5|E|13")=0,"",INDEX('Risk Register'!$A$7:$A$206,MATCH("5|E|13",'Risk Register'!$R$7:$R$206,0)))</f>
        <v/>
      </c>
      <c r="AA30" s="12" t="str">
        <f>IF(COUNTIF('Risk Register'!$R$7:$R$206,"5|E|14")=0,"",INDEX('Risk Register'!$A$7:$A$206,MATCH("5|E|14",'Risk Register'!$R$7:$R$206,0)))</f>
        <v/>
      </c>
      <c r="AB30" s="17" t="str">
        <f>IF(COUNTIF('Risk Register'!$R$7:$R$206,"5|E|15")=0,"",INDEX('Risk Register'!$A$7:$A$206,MATCH("5|E|15",'Risk Register'!$R$7:$R$206,0)))</f>
        <v/>
      </c>
      <c r="AC30" s="16" t="str">
        <f>IF(COUNTIF('Risk Register'!$R$7:$R$206,"6|E|11")=0,"",INDEX('Risk Register'!$A$7:$A$206,MATCH("6|E|11",'Risk Register'!$R$7:$R$206,0)))</f>
        <v/>
      </c>
      <c r="AD30" s="12" t="str">
        <f>IF(COUNTIF('Risk Register'!$R$7:$R$206,"6|E|12")=0,"",INDEX('Risk Register'!$A$7:$A$206,MATCH("6|E|12",'Risk Register'!$R$7:$R$206,0)))</f>
        <v/>
      </c>
      <c r="AE30" s="12" t="str">
        <f>IF(COUNTIF('Risk Register'!$R$7:$R$206,"6|E|13")=0,"",INDEX('Risk Register'!$A$7:$A$206,MATCH("6|E|13",'Risk Register'!$R$7:$R$206,0)))</f>
        <v/>
      </c>
      <c r="AF30" s="12" t="str">
        <f>IF(COUNTIF('Risk Register'!$R$7:$R$206,"6|E|14")=0,"",INDEX('Risk Register'!$A$7:$A$206,MATCH("6|E|14",'Risk Register'!$R$7:$R$206,0)))</f>
        <v/>
      </c>
      <c r="AG30" s="17" t="str">
        <f>IF(COUNTIF('Risk Register'!$R$7:$R$206,"6|E|15")=0,"",INDEX('Risk Register'!$A$7:$A$206,MATCH("6|E|15",'Risk Register'!$R$7:$R$206,0)))</f>
        <v/>
      </c>
      <c r="AH30" s="16" t="str">
        <f>IF(COUNTIF('Risk Register'!$R$7:$R$206,"7|E|11")=0,"",INDEX('Risk Register'!$A$7:$A$206,MATCH("7|E|11",'Risk Register'!$R$7:$R$206,0)))</f>
        <v/>
      </c>
      <c r="AI30" s="12" t="str">
        <f>IF(COUNTIF('Risk Register'!$R$7:$R$206,"7|E|12")=0,"",INDEX('Risk Register'!$A$7:$A$206,MATCH("7|E|12",'Risk Register'!$R$7:$R$206,0)))</f>
        <v/>
      </c>
      <c r="AJ30" s="12" t="str">
        <f>IF(COUNTIF('Risk Register'!$R$7:$R$206,"7|E|13")=0,"",INDEX('Risk Register'!$A$7:$A$206,MATCH("7|E|13",'Risk Register'!$R$7:$R$206,0)))</f>
        <v/>
      </c>
      <c r="AK30" s="12" t="str">
        <f>IF(COUNTIF('Risk Register'!$R$7:$R$206,"7|E|14")=0,"",INDEX('Risk Register'!$A$7:$A$206,MATCH("7|E|14",'Risk Register'!$R$7:$R$206,0)))</f>
        <v/>
      </c>
      <c r="AL30" s="17" t="str">
        <f>IF(COUNTIF('Risk Register'!$R$7:$R$206,"7|E|15")=0,"",INDEX('Risk Register'!$A$7:$A$206,MATCH("7|E|15",'Risk Register'!$R$7:$R$206,0)))</f>
        <v/>
      </c>
      <c r="AM30" s="16" t="str">
        <f>IF(COUNTIF('Risk Register'!$R$7:$R$206,"8|E|11")=0,"",INDEX('Risk Register'!$A$7:$A$206,MATCH("8|E|11",'Risk Register'!$R$7:$R$206,0)))</f>
        <v/>
      </c>
      <c r="AN30" s="12" t="str">
        <f>IF(COUNTIF('Risk Register'!$R$7:$R$206,"8|E|12")=0,"",INDEX('Risk Register'!$A$7:$A$206,MATCH("8|E|12",'Risk Register'!$R$7:$R$206,0)))</f>
        <v/>
      </c>
      <c r="AO30" s="12" t="str">
        <f>IF(COUNTIF('Risk Register'!$R$7:$R$206,"8|E|13")=0,"",INDEX('Risk Register'!$A$7:$A$206,MATCH("8|E|13",'Risk Register'!$R$7:$R$206,0)))</f>
        <v/>
      </c>
      <c r="AP30" s="12" t="str">
        <f>IF(COUNTIF('Risk Register'!$R$7:$R$206,"8|E|14")=0,"",INDEX('Risk Register'!$A$7:$A$206,MATCH("8|E|14",'Risk Register'!$R$7:$R$206,0)))</f>
        <v/>
      </c>
      <c r="AQ30" s="17" t="str">
        <f>IF(COUNTIF('Risk Register'!$R$7:$R$206,"8|E|15")=0,"",INDEX('Risk Register'!$A$7:$A$206,MATCH("8|E|15",'Risk Register'!$R$7:$R$206,0)))</f>
        <v/>
      </c>
      <c r="AS30" s="10">
        <f>IFERROR(INDEX('Risk Register'!$A$7:$A$206,23),"")</f>
        <v>23</v>
      </c>
      <c r="AT30" s="10" t="str">
        <f>IFERROR(INDEX('Risk Register'!$B$7:$B$206,23),"")</f>
        <v>Wireline logging failure/stuck tool</v>
      </c>
    </row>
    <row r="31" spans="2:46" ht="18" customHeight="1">
      <c r="B31" s="56"/>
      <c r="C31" s="58"/>
      <c r="D31" s="24" t="str">
        <f>IF(COUNTIF('Risk Register'!$R$7:$R$206,"1|E|16")=0,"",INDEX('Risk Register'!$A$7:$A$206,MATCH("1|E|16",'Risk Register'!$R$7:$R$206,0)))</f>
        <v/>
      </c>
      <c r="E31" s="25" t="str">
        <f>IF(COUNTIF('Risk Register'!$R$7:$R$206,"1|E|17")=0,"",INDEX('Risk Register'!$A$7:$A$206,MATCH("1|E|17",'Risk Register'!$R$7:$R$206,0)))</f>
        <v/>
      </c>
      <c r="F31" s="25" t="str">
        <f>IF(COUNTIF('Risk Register'!$R$7:$R$206,"1|E|18")=0,"",INDEX('Risk Register'!$A$7:$A$206,MATCH("1|E|18",'Risk Register'!$R$7:$R$206,0)))</f>
        <v/>
      </c>
      <c r="G31" s="25" t="str">
        <f>IF(COUNTIF('Risk Register'!$R$7:$R$206,"1|E|19")=0,"",INDEX('Risk Register'!$A$7:$A$206,MATCH("1|E|19",'Risk Register'!$R$7:$R$206,0)))</f>
        <v/>
      </c>
      <c r="H31" s="26" t="str">
        <f>IF(COUNTIF('Risk Register'!$R$7:$R$206,"1|E|20")=0,"",INDEX('Risk Register'!$A$7:$A$206,MATCH("1|E|20",'Risk Register'!$R$7:$R$206,0)))</f>
        <v/>
      </c>
      <c r="I31" s="24" t="str">
        <f>IF(COUNTIF('Risk Register'!$R$7:$R$206,"2|E|16")=0,"",INDEX('Risk Register'!$A$7:$A$206,MATCH("2|E|16",'Risk Register'!$R$7:$R$206,0)))</f>
        <v/>
      </c>
      <c r="J31" s="25" t="str">
        <f>IF(COUNTIF('Risk Register'!$R$7:$R$206,"2|E|17")=0,"",INDEX('Risk Register'!$A$7:$A$206,MATCH("2|E|17",'Risk Register'!$R$7:$R$206,0)))</f>
        <v/>
      </c>
      <c r="K31" s="25" t="str">
        <f>IF(COUNTIF('Risk Register'!$R$7:$R$206,"2|E|18")=0,"",INDEX('Risk Register'!$A$7:$A$206,MATCH("2|E|18",'Risk Register'!$R$7:$R$206,0)))</f>
        <v/>
      </c>
      <c r="L31" s="25" t="str">
        <f>IF(COUNTIF('Risk Register'!$R$7:$R$206,"2|E|19")=0,"",INDEX('Risk Register'!$A$7:$A$206,MATCH("2|E|19",'Risk Register'!$R$7:$R$206,0)))</f>
        <v/>
      </c>
      <c r="M31" s="26" t="str">
        <f>IF(COUNTIF('Risk Register'!$R$7:$R$206,"2|E|20")=0,"",INDEX('Risk Register'!$A$7:$A$206,MATCH("2|E|20",'Risk Register'!$R$7:$R$206,0)))</f>
        <v/>
      </c>
      <c r="N31" s="24" t="str">
        <f>IF(COUNTIF('Risk Register'!$R$7:$R$206,"3|E|16")=0,"",INDEX('Risk Register'!$A$7:$A$206,MATCH("3|E|16",'Risk Register'!$R$7:$R$206,0)))</f>
        <v/>
      </c>
      <c r="O31" s="25" t="str">
        <f>IF(COUNTIF('Risk Register'!$R$7:$R$206,"3|E|17")=0,"",INDEX('Risk Register'!$A$7:$A$206,MATCH("3|E|17",'Risk Register'!$R$7:$R$206,0)))</f>
        <v/>
      </c>
      <c r="P31" s="25" t="str">
        <f>IF(COUNTIF('Risk Register'!$R$7:$R$206,"3|E|18")=0,"",INDEX('Risk Register'!$A$7:$A$206,MATCH("3|E|18",'Risk Register'!$R$7:$R$206,0)))</f>
        <v/>
      </c>
      <c r="Q31" s="25" t="str">
        <f>IF(COUNTIF('Risk Register'!$R$7:$R$206,"3|E|19")=0,"",INDEX('Risk Register'!$A$7:$A$206,MATCH("3|E|19",'Risk Register'!$R$7:$R$206,0)))</f>
        <v/>
      </c>
      <c r="R31" s="26" t="str">
        <f>IF(COUNTIF('Risk Register'!$R$7:$R$206,"3|E|20")=0,"",INDEX('Risk Register'!$A$7:$A$206,MATCH("3|E|20",'Risk Register'!$R$7:$R$206,0)))</f>
        <v/>
      </c>
      <c r="S31" s="16" t="str">
        <f>IF(COUNTIF('Risk Register'!$R$7:$R$206,"4|E|16")=0,"",INDEX('Risk Register'!$A$7:$A$206,MATCH("4|E|16",'Risk Register'!$R$7:$R$206,0)))</f>
        <v/>
      </c>
      <c r="T31" s="12" t="str">
        <f>IF(COUNTIF('Risk Register'!$R$7:$R$206,"4|E|17")=0,"",INDEX('Risk Register'!$A$7:$A$206,MATCH("4|E|17",'Risk Register'!$R$7:$R$206,0)))</f>
        <v/>
      </c>
      <c r="U31" s="12" t="str">
        <f>IF(COUNTIF('Risk Register'!$R$7:$R$206,"4|E|18")=0,"",INDEX('Risk Register'!$A$7:$A$206,MATCH("4|E|18",'Risk Register'!$R$7:$R$206,0)))</f>
        <v/>
      </c>
      <c r="V31" s="12" t="str">
        <f>IF(COUNTIF('Risk Register'!$R$7:$R$206,"4|E|19")=0,"",INDEX('Risk Register'!$A$7:$A$206,MATCH("4|E|19",'Risk Register'!$R$7:$R$206,0)))</f>
        <v/>
      </c>
      <c r="W31" s="17" t="str">
        <f>IF(COUNTIF('Risk Register'!$R$7:$R$206,"4|E|20")=0,"",INDEX('Risk Register'!$A$7:$A$206,MATCH("4|E|20",'Risk Register'!$R$7:$R$206,0)))</f>
        <v/>
      </c>
      <c r="X31" s="16" t="str">
        <f>IF(COUNTIF('Risk Register'!$R$7:$R$206,"5|E|16")=0,"",INDEX('Risk Register'!$A$7:$A$206,MATCH("5|E|16",'Risk Register'!$R$7:$R$206,0)))</f>
        <v/>
      </c>
      <c r="Y31" s="12" t="str">
        <f>IF(COUNTIF('Risk Register'!$R$7:$R$206,"5|E|17")=0,"",INDEX('Risk Register'!$A$7:$A$206,MATCH("5|E|17",'Risk Register'!$R$7:$R$206,0)))</f>
        <v/>
      </c>
      <c r="Z31" s="12" t="str">
        <f>IF(COUNTIF('Risk Register'!$R$7:$R$206,"5|E|18")=0,"",INDEX('Risk Register'!$A$7:$A$206,MATCH("5|E|18",'Risk Register'!$R$7:$R$206,0)))</f>
        <v/>
      </c>
      <c r="AA31" s="12" t="str">
        <f>IF(COUNTIF('Risk Register'!$R$7:$R$206,"5|E|19")=0,"",INDEX('Risk Register'!$A$7:$A$206,MATCH("5|E|19",'Risk Register'!$R$7:$R$206,0)))</f>
        <v/>
      </c>
      <c r="AB31" s="17" t="str">
        <f>IF(COUNTIF('Risk Register'!$R$7:$R$206,"5|E|20")=0,"",INDEX('Risk Register'!$A$7:$A$206,MATCH("5|E|20",'Risk Register'!$R$7:$R$206,0)))</f>
        <v/>
      </c>
      <c r="AC31" s="16" t="str">
        <f>IF(COUNTIF('Risk Register'!$R$7:$R$206,"6|E|16")=0,"",INDEX('Risk Register'!$A$7:$A$206,MATCH("6|E|16",'Risk Register'!$R$7:$R$206,0)))</f>
        <v/>
      </c>
      <c r="AD31" s="12" t="str">
        <f>IF(COUNTIF('Risk Register'!$R$7:$R$206,"6|E|17")=0,"",INDEX('Risk Register'!$A$7:$A$206,MATCH("6|E|17",'Risk Register'!$R$7:$R$206,0)))</f>
        <v/>
      </c>
      <c r="AE31" s="12" t="str">
        <f>IF(COUNTIF('Risk Register'!$R$7:$R$206,"6|E|18")=0,"",INDEX('Risk Register'!$A$7:$A$206,MATCH("6|E|18",'Risk Register'!$R$7:$R$206,0)))</f>
        <v/>
      </c>
      <c r="AF31" s="12" t="str">
        <f>IF(COUNTIF('Risk Register'!$R$7:$R$206,"6|E|19")=0,"",INDEX('Risk Register'!$A$7:$A$206,MATCH("6|E|19",'Risk Register'!$R$7:$R$206,0)))</f>
        <v/>
      </c>
      <c r="AG31" s="17" t="str">
        <f>IF(COUNTIF('Risk Register'!$R$7:$R$206,"6|E|20")=0,"",INDEX('Risk Register'!$A$7:$A$206,MATCH("6|E|20",'Risk Register'!$R$7:$R$206,0)))</f>
        <v/>
      </c>
      <c r="AH31" s="16" t="str">
        <f>IF(COUNTIF('Risk Register'!$R$7:$R$206,"7|E|16")=0,"",INDEX('Risk Register'!$A$7:$A$206,MATCH("7|E|16",'Risk Register'!$R$7:$R$206,0)))</f>
        <v/>
      </c>
      <c r="AI31" s="12" t="str">
        <f>IF(COUNTIF('Risk Register'!$R$7:$R$206,"7|E|17")=0,"",INDEX('Risk Register'!$A$7:$A$206,MATCH("7|E|17",'Risk Register'!$R$7:$R$206,0)))</f>
        <v/>
      </c>
      <c r="AJ31" s="12" t="str">
        <f>IF(COUNTIF('Risk Register'!$R$7:$R$206,"7|E|18")=0,"",INDEX('Risk Register'!$A$7:$A$206,MATCH("7|E|18",'Risk Register'!$R$7:$R$206,0)))</f>
        <v/>
      </c>
      <c r="AK31" s="12" t="str">
        <f>IF(COUNTIF('Risk Register'!$R$7:$R$206,"7|E|19")=0,"",INDEX('Risk Register'!$A$7:$A$206,MATCH("7|E|19",'Risk Register'!$R$7:$R$206,0)))</f>
        <v/>
      </c>
      <c r="AL31" s="17" t="str">
        <f>IF(COUNTIF('Risk Register'!$R$7:$R$206,"7|E|20")=0,"",INDEX('Risk Register'!$A$7:$A$206,MATCH("7|E|20",'Risk Register'!$R$7:$R$206,0)))</f>
        <v/>
      </c>
      <c r="AM31" s="16" t="str">
        <f>IF(COUNTIF('Risk Register'!$R$7:$R$206,"8|E|16")=0,"",INDEX('Risk Register'!$A$7:$A$206,MATCH("8|E|16",'Risk Register'!$R$7:$R$206,0)))</f>
        <v/>
      </c>
      <c r="AN31" s="12" t="str">
        <f>IF(COUNTIF('Risk Register'!$R$7:$R$206,"8|E|17")=0,"",INDEX('Risk Register'!$A$7:$A$206,MATCH("8|E|17",'Risk Register'!$R$7:$R$206,0)))</f>
        <v/>
      </c>
      <c r="AO31" s="12" t="str">
        <f>IF(COUNTIF('Risk Register'!$R$7:$R$206,"8|E|18")=0,"",INDEX('Risk Register'!$A$7:$A$206,MATCH("8|E|18",'Risk Register'!$R$7:$R$206,0)))</f>
        <v/>
      </c>
      <c r="AP31" s="12" t="str">
        <f>IF(COUNTIF('Risk Register'!$R$7:$R$206,"8|E|19")=0,"",INDEX('Risk Register'!$A$7:$A$206,MATCH("8|E|19",'Risk Register'!$R$7:$R$206,0)))</f>
        <v/>
      </c>
      <c r="AQ31" s="17" t="str">
        <f>IF(COUNTIF('Risk Register'!$R$7:$R$206,"8|E|20")=0,"",INDEX('Risk Register'!$A$7:$A$206,MATCH("8|E|20",'Risk Register'!$R$7:$R$206,0)))</f>
        <v/>
      </c>
      <c r="AS31" s="10">
        <f>IFERROR(INDEX('Risk Register'!$A$7:$A$206,24),"")</f>
        <v>24</v>
      </c>
      <c r="AT31" s="10" t="str">
        <f>IFERROR(INDEX('Risk Register'!$B$7:$B$206,24),"")</f>
        <v>Stuck casing</v>
      </c>
    </row>
    <row r="32" spans="2:46" ht="18" customHeight="1">
      <c r="B32" s="56"/>
      <c r="C32" s="58"/>
      <c r="D32" s="27" t="str">
        <f>IF(COUNTIF('Risk Register'!$R$7:$R$206,"1|E|21")=0,"",INDEX('Risk Register'!$A$7:$A$206,MATCH("1|E|21",'Risk Register'!$R$7:$R$206,0)))</f>
        <v/>
      </c>
      <c r="E32" s="28" t="str">
        <f>IF(COUNTIF('Risk Register'!$R$7:$R$206,"1|E|22")=0,"",INDEX('Risk Register'!$A$7:$A$206,MATCH("1|E|22",'Risk Register'!$R$7:$R$206,0)))</f>
        <v/>
      </c>
      <c r="F32" s="28" t="str">
        <f>IF(COUNTIF('Risk Register'!$R$7:$R$206,"1|E|23")=0,"",INDEX('Risk Register'!$A$7:$A$206,MATCH("1|E|23",'Risk Register'!$R$7:$R$206,0)))</f>
        <v/>
      </c>
      <c r="G32" s="28" t="str">
        <f>IF(COUNTIF('Risk Register'!$R$7:$R$206,"1|E|24")=0,"",INDEX('Risk Register'!$A$7:$A$206,MATCH("1|E|24",'Risk Register'!$R$7:$R$206,0)))</f>
        <v/>
      </c>
      <c r="H32" s="29" t="str">
        <f>IF(COUNTIF('Risk Register'!$R$7:$R$206,"1|E|25")=0,"",INDEX('Risk Register'!$A$7:$A$206,MATCH("1|E|25",'Risk Register'!$R$7:$R$206,0)))</f>
        <v/>
      </c>
      <c r="I32" s="27" t="str">
        <f>IF(COUNTIF('Risk Register'!$R$7:$R$206,"2|E|21")=0,"",INDEX('Risk Register'!$A$7:$A$206,MATCH("2|E|21",'Risk Register'!$R$7:$R$206,0)))</f>
        <v/>
      </c>
      <c r="J32" s="28" t="str">
        <f>IF(COUNTIF('Risk Register'!$R$7:$R$206,"2|E|22")=0,"",INDEX('Risk Register'!$A$7:$A$206,MATCH("2|E|22",'Risk Register'!$R$7:$R$206,0)))</f>
        <v/>
      </c>
      <c r="K32" s="28" t="str">
        <f>IF(COUNTIF('Risk Register'!$R$7:$R$206,"2|E|23")=0,"",INDEX('Risk Register'!$A$7:$A$206,MATCH("2|E|23",'Risk Register'!$R$7:$R$206,0)))</f>
        <v/>
      </c>
      <c r="L32" s="28" t="str">
        <f>IF(COUNTIF('Risk Register'!$R$7:$R$206,"2|E|24")=0,"",INDEX('Risk Register'!$A$7:$A$206,MATCH("2|E|24",'Risk Register'!$R$7:$R$206,0)))</f>
        <v/>
      </c>
      <c r="M32" s="29" t="str">
        <f>IF(COUNTIF('Risk Register'!$R$7:$R$206,"2|E|25")=0,"",INDEX('Risk Register'!$A$7:$A$206,MATCH("2|E|25",'Risk Register'!$R$7:$R$206,0)))</f>
        <v/>
      </c>
      <c r="N32" s="27" t="str">
        <f>IF(COUNTIF('Risk Register'!$R$7:$R$206,"3|E|21")=0,"",INDEX('Risk Register'!$A$7:$A$206,MATCH("3|E|21",'Risk Register'!$R$7:$R$206,0)))</f>
        <v/>
      </c>
      <c r="O32" s="28" t="str">
        <f>IF(COUNTIF('Risk Register'!$R$7:$R$206,"3|E|22")=0,"",INDEX('Risk Register'!$A$7:$A$206,MATCH("3|E|22",'Risk Register'!$R$7:$R$206,0)))</f>
        <v/>
      </c>
      <c r="P32" s="28" t="str">
        <f>IF(COUNTIF('Risk Register'!$R$7:$R$206,"3|E|23")=0,"",INDEX('Risk Register'!$A$7:$A$206,MATCH("3|E|23",'Risk Register'!$R$7:$R$206,0)))</f>
        <v/>
      </c>
      <c r="Q32" s="28" t="str">
        <f>IF(COUNTIF('Risk Register'!$R$7:$R$206,"3|E|24")=0,"",INDEX('Risk Register'!$A$7:$A$206,MATCH("3|E|24",'Risk Register'!$R$7:$R$206,0)))</f>
        <v/>
      </c>
      <c r="R32" s="29" t="str">
        <f>IF(COUNTIF('Risk Register'!$R$7:$R$206,"3|E|25")=0,"",INDEX('Risk Register'!$A$7:$A$206,MATCH("3|E|25",'Risk Register'!$R$7:$R$206,0)))</f>
        <v/>
      </c>
      <c r="S32" s="18" t="str">
        <f>IF(COUNTIF('Risk Register'!$R$7:$R$206,"4|E|21")=0,"",INDEX('Risk Register'!$A$7:$A$206,MATCH("4|E|21",'Risk Register'!$R$7:$R$206,0)))</f>
        <v/>
      </c>
      <c r="T32" s="19" t="str">
        <f>IF(COUNTIF('Risk Register'!$R$7:$R$206,"4|E|22")=0,"",INDEX('Risk Register'!$A$7:$A$206,MATCH("4|E|22",'Risk Register'!$R$7:$R$206,0)))</f>
        <v/>
      </c>
      <c r="U32" s="19" t="str">
        <f>IF(COUNTIF('Risk Register'!$R$7:$R$206,"4|E|23")=0,"",INDEX('Risk Register'!$A$7:$A$206,MATCH("4|E|23",'Risk Register'!$R$7:$R$206,0)))</f>
        <v/>
      </c>
      <c r="V32" s="19" t="str">
        <f>IF(COUNTIF('Risk Register'!$R$7:$R$206,"4|E|24")=0,"",INDEX('Risk Register'!$A$7:$A$206,MATCH("4|E|24",'Risk Register'!$R$7:$R$206,0)))</f>
        <v/>
      </c>
      <c r="W32" s="20" t="str">
        <f>IF(COUNTIF('Risk Register'!$R$7:$R$206,"4|E|25")=0,"",INDEX('Risk Register'!$A$7:$A$206,MATCH("4|E|25",'Risk Register'!$R$7:$R$206,0)))</f>
        <v/>
      </c>
      <c r="X32" s="18" t="str">
        <f>IF(COUNTIF('Risk Register'!$R$7:$R$206,"5|E|21")=0,"",INDEX('Risk Register'!$A$7:$A$206,MATCH("5|E|21",'Risk Register'!$R$7:$R$206,0)))</f>
        <v/>
      </c>
      <c r="Y32" s="19" t="str">
        <f>IF(COUNTIF('Risk Register'!$R$7:$R$206,"5|E|22")=0,"",INDEX('Risk Register'!$A$7:$A$206,MATCH("5|E|22",'Risk Register'!$R$7:$R$206,0)))</f>
        <v/>
      </c>
      <c r="Z32" s="19" t="str">
        <f>IF(COUNTIF('Risk Register'!$R$7:$R$206,"5|E|23")=0,"",INDEX('Risk Register'!$A$7:$A$206,MATCH("5|E|23",'Risk Register'!$R$7:$R$206,0)))</f>
        <v/>
      </c>
      <c r="AA32" s="19" t="str">
        <f>IF(COUNTIF('Risk Register'!$R$7:$R$206,"5|E|24")=0,"",INDEX('Risk Register'!$A$7:$A$206,MATCH("5|E|24",'Risk Register'!$R$7:$R$206,0)))</f>
        <v/>
      </c>
      <c r="AB32" s="20" t="str">
        <f>IF(COUNTIF('Risk Register'!$R$7:$R$206,"5|E|25")=0,"",INDEX('Risk Register'!$A$7:$A$206,MATCH("5|E|25",'Risk Register'!$R$7:$R$206,0)))</f>
        <v/>
      </c>
      <c r="AC32" s="18" t="str">
        <f>IF(COUNTIF('Risk Register'!$R$7:$R$206,"6|E|21")=0,"",INDEX('Risk Register'!$A$7:$A$206,MATCH("6|E|21",'Risk Register'!$R$7:$R$206,0)))</f>
        <v/>
      </c>
      <c r="AD32" s="19" t="str">
        <f>IF(COUNTIF('Risk Register'!$R$7:$R$206,"6|E|22")=0,"",INDEX('Risk Register'!$A$7:$A$206,MATCH("6|E|22",'Risk Register'!$R$7:$R$206,0)))</f>
        <v/>
      </c>
      <c r="AE32" s="19" t="str">
        <f>IF(COUNTIF('Risk Register'!$R$7:$R$206,"6|E|23")=0,"",INDEX('Risk Register'!$A$7:$A$206,MATCH("6|E|23",'Risk Register'!$R$7:$R$206,0)))</f>
        <v/>
      </c>
      <c r="AF32" s="19" t="str">
        <f>IF(COUNTIF('Risk Register'!$R$7:$R$206,"6|E|24")=0,"",INDEX('Risk Register'!$A$7:$A$206,MATCH("6|E|24",'Risk Register'!$R$7:$R$206,0)))</f>
        <v/>
      </c>
      <c r="AG32" s="20" t="str">
        <f>IF(COUNTIF('Risk Register'!$R$7:$R$206,"6|E|25")=0,"",INDEX('Risk Register'!$A$7:$A$206,MATCH("6|E|25",'Risk Register'!$R$7:$R$206,0)))</f>
        <v/>
      </c>
      <c r="AH32" s="18" t="str">
        <f>IF(COUNTIF('Risk Register'!$R$7:$R$206,"7|E|21")=0,"",INDEX('Risk Register'!$A$7:$A$206,MATCH("7|E|21",'Risk Register'!$R$7:$R$206,0)))</f>
        <v/>
      </c>
      <c r="AI32" s="19" t="str">
        <f>IF(COUNTIF('Risk Register'!$R$7:$R$206,"7|E|22")=0,"",INDEX('Risk Register'!$A$7:$A$206,MATCH("7|E|22",'Risk Register'!$R$7:$R$206,0)))</f>
        <v/>
      </c>
      <c r="AJ32" s="19" t="str">
        <f>IF(COUNTIF('Risk Register'!$R$7:$R$206,"7|E|23")=0,"",INDEX('Risk Register'!$A$7:$A$206,MATCH("7|E|23",'Risk Register'!$R$7:$R$206,0)))</f>
        <v/>
      </c>
      <c r="AK32" s="19" t="str">
        <f>IF(COUNTIF('Risk Register'!$R$7:$R$206,"7|E|24")=0,"",INDEX('Risk Register'!$A$7:$A$206,MATCH("7|E|24",'Risk Register'!$R$7:$R$206,0)))</f>
        <v/>
      </c>
      <c r="AL32" s="20" t="str">
        <f>IF(COUNTIF('Risk Register'!$R$7:$R$206,"7|E|25")=0,"",INDEX('Risk Register'!$A$7:$A$206,MATCH("7|E|25",'Risk Register'!$R$7:$R$206,0)))</f>
        <v/>
      </c>
      <c r="AM32" s="18" t="str">
        <f>IF(COUNTIF('Risk Register'!$R$7:$R$206,"8|E|21")=0,"",INDEX('Risk Register'!$A$7:$A$206,MATCH("8|E|21",'Risk Register'!$R$7:$R$206,0)))</f>
        <v/>
      </c>
      <c r="AN32" s="19" t="str">
        <f>IF(COUNTIF('Risk Register'!$R$7:$R$206,"8|E|22")=0,"",INDEX('Risk Register'!$A$7:$A$206,MATCH("8|E|22",'Risk Register'!$R$7:$R$206,0)))</f>
        <v/>
      </c>
      <c r="AO32" s="19" t="str">
        <f>IF(COUNTIF('Risk Register'!$R$7:$R$206,"8|E|23")=0,"",INDEX('Risk Register'!$A$7:$A$206,MATCH("8|E|23",'Risk Register'!$R$7:$R$206,0)))</f>
        <v/>
      </c>
      <c r="AP32" s="19" t="str">
        <f>IF(COUNTIF('Risk Register'!$R$7:$R$206,"8|E|24")=0,"",INDEX('Risk Register'!$A$7:$A$206,MATCH("8|E|24",'Risk Register'!$R$7:$R$206,0)))</f>
        <v/>
      </c>
      <c r="AQ32" s="20" t="str">
        <f>IF(COUNTIF('Risk Register'!$R$7:$R$206,"8|E|25")=0,"",INDEX('Risk Register'!$A$7:$A$206,MATCH("8|E|25",'Risk Register'!$R$7:$R$206,0)))</f>
        <v/>
      </c>
      <c r="AS32" s="10">
        <f>IFERROR(INDEX('Risk Register'!$A$7:$A$206,25),"")</f>
        <v>25</v>
      </c>
      <c r="AT32" s="10" t="str">
        <f>IFERROR(INDEX('Risk Register'!$B$7:$B$206,25),"")</f>
        <v>Core barrel stuck / jamming</v>
      </c>
    </row>
    <row r="33" spans="2:46" ht="18" customHeight="1">
      <c r="B33" s="56"/>
      <c r="C33" s="58" t="s">
        <v>33</v>
      </c>
      <c r="D33" s="21">
        <f>IF(COUNTIF('Risk Register'!$R$7:$R$206,"1|F|1")=0,"",INDEX('Risk Register'!$A$7:$A$206,MATCH("1|F|1",'Risk Register'!$R$7:$R$206,0)))</f>
        <v>9</v>
      </c>
      <c r="E33" s="22">
        <f>IF(COUNTIF('Risk Register'!$R$7:$R$206,"1|F|2")=0,"",INDEX('Risk Register'!$A$7:$A$206,MATCH("1|F|2",'Risk Register'!$R$7:$R$206,0)))</f>
        <v>14</v>
      </c>
      <c r="F33" s="22">
        <f>IF(COUNTIF('Risk Register'!$R$7:$R$206,"1|F|3")=0,"",INDEX('Risk Register'!$A$7:$A$206,MATCH("1|F|3",'Risk Register'!$R$7:$R$206,0)))</f>
        <v>22</v>
      </c>
      <c r="G33" s="22" t="str">
        <f>IF(COUNTIF('Risk Register'!$R$7:$R$206,"1|F|4")=0,"",INDEX('Risk Register'!$A$7:$A$206,MATCH("1|F|4",'Risk Register'!$R$7:$R$206,0)))</f>
        <v/>
      </c>
      <c r="H33" s="23" t="str">
        <f>IF(COUNTIF('Risk Register'!$R$7:$R$206,"1|F|5")=0,"",INDEX('Risk Register'!$A$7:$A$206,MATCH("1|F|5",'Risk Register'!$R$7:$R$206,0)))</f>
        <v/>
      </c>
      <c r="I33" s="21">
        <f>IF(COUNTIF('Risk Register'!$R$7:$R$206,"2|F|1")=0,"",INDEX('Risk Register'!$A$7:$A$206,MATCH("2|F|1",'Risk Register'!$R$7:$R$206,0)))</f>
        <v>3</v>
      </c>
      <c r="J33" s="22">
        <f>IF(COUNTIF('Risk Register'!$R$7:$R$206,"2|F|2")=0,"",INDEX('Risk Register'!$A$7:$A$206,MATCH("2|F|2",'Risk Register'!$R$7:$R$206,0)))</f>
        <v>32</v>
      </c>
      <c r="K33" s="22" t="str">
        <f>IF(COUNTIF('Risk Register'!$R$7:$R$206,"2|F|3")=0,"",INDEX('Risk Register'!$A$7:$A$206,MATCH("2|F|3",'Risk Register'!$R$7:$R$206,0)))</f>
        <v/>
      </c>
      <c r="L33" s="22" t="str">
        <f>IF(COUNTIF('Risk Register'!$R$7:$R$206,"2|F|4")=0,"",INDEX('Risk Register'!$A$7:$A$206,MATCH("2|F|4",'Risk Register'!$R$7:$R$206,0)))</f>
        <v/>
      </c>
      <c r="M33" s="23" t="str">
        <f>IF(COUNTIF('Risk Register'!$R$7:$R$206,"2|F|5")=0,"",INDEX('Risk Register'!$A$7:$A$206,MATCH("2|F|5",'Risk Register'!$R$7:$R$206,0)))</f>
        <v/>
      </c>
      <c r="N33" s="21">
        <f>IF(COUNTIF('Risk Register'!$R$7:$R$206,"3|F|1")=0,"",INDEX('Risk Register'!$A$7:$A$206,MATCH("3|F|1",'Risk Register'!$R$7:$R$206,0)))</f>
        <v>8</v>
      </c>
      <c r="O33" s="22" t="str">
        <f>IF(COUNTIF('Risk Register'!$R$7:$R$206,"3|F|2")=0,"",INDEX('Risk Register'!$A$7:$A$206,MATCH("3|F|2",'Risk Register'!$R$7:$R$206,0)))</f>
        <v/>
      </c>
      <c r="P33" s="22" t="str">
        <f>IF(COUNTIF('Risk Register'!$R$7:$R$206,"3|F|3")=0,"",INDEX('Risk Register'!$A$7:$A$206,MATCH("3|F|3",'Risk Register'!$R$7:$R$206,0)))</f>
        <v/>
      </c>
      <c r="Q33" s="22" t="str">
        <f>IF(COUNTIF('Risk Register'!$R$7:$R$206,"3|F|4")=0,"",INDEX('Risk Register'!$A$7:$A$206,MATCH("3|F|4",'Risk Register'!$R$7:$R$206,0)))</f>
        <v/>
      </c>
      <c r="R33" s="23" t="str">
        <f>IF(COUNTIF('Risk Register'!$R$7:$R$206,"3|F|5")=0,"",INDEX('Risk Register'!$A$7:$A$206,MATCH("3|F|5",'Risk Register'!$R$7:$R$206,0)))</f>
        <v/>
      </c>
      <c r="S33" s="21">
        <f>IF(COUNTIF('Risk Register'!$R$7:$R$206,"4|F|1")=0,"",INDEX('Risk Register'!$A$7:$A$206,MATCH("4|F|1",'Risk Register'!$R$7:$R$206,0)))</f>
        <v>30</v>
      </c>
      <c r="T33" s="22" t="str">
        <f>IF(COUNTIF('Risk Register'!$R$7:$R$206,"4|F|2")=0,"",INDEX('Risk Register'!$A$7:$A$206,MATCH("4|F|2",'Risk Register'!$R$7:$R$206,0)))</f>
        <v/>
      </c>
      <c r="U33" s="22" t="str">
        <f>IF(COUNTIF('Risk Register'!$R$7:$R$206,"4|F|3")=0,"",INDEX('Risk Register'!$A$7:$A$206,MATCH("4|F|3",'Risk Register'!$R$7:$R$206,0)))</f>
        <v/>
      </c>
      <c r="V33" s="22" t="str">
        <f>IF(COUNTIF('Risk Register'!$R$7:$R$206,"4|F|4")=0,"",INDEX('Risk Register'!$A$7:$A$206,MATCH("4|F|4",'Risk Register'!$R$7:$R$206,0)))</f>
        <v/>
      </c>
      <c r="W33" s="22" t="str">
        <f>IF(COUNTIF('Risk Register'!$R$7:$R$206,"4|F|5")=0,"",INDEX('Risk Register'!$A$7:$A$206,MATCH("4|F|5",'Risk Register'!$R$7:$R$206,0)))</f>
        <v/>
      </c>
      <c r="X33" s="39" t="str">
        <f>IF(COUNTIF('Risk Register'!$R$7:$R$206,"5|F|1")=0,"",INDEX('Risk Register'!$A$7:$A$206,MATCH("5|F|1",'Risk Register'!$R$7:$R$206,0)))</f>
        <v/>
      </c>
      <c r="Y33" s="40" t="str">
        <f>IF(COUNTIF('Risk Register'!$R$7:$R$206,"5|F|2")=0,"",INDEX('Risk Register'!$A$7:$A$206,MATCH("5|F|2",'Risk Register'!$R$7:$R$206,0)))</f>
        <v/>
      </c>
      <c r="Z33" s="40" t="str">
        <f>IF(COUNTIF('Risk Register'!$R$7:$R$206,"5|F|3")=0,"",INDEX('Risk Register'!$A$7:$A$206,MATCH("5|F|3",'Risk Register'!$R$7:$R$206,0)))</f>
        <v/>
      </c>
      <c r="AA33" s="40" t="str">
        <f>IF(COUNTIF('Risk Register'!$R$7:$R$206,"5|F|4")=0,"",INDEX('Risk Register'!$A$7:$A$206,MATCH("5|F|4",'Risk Register'!$R$7:$R$206,0)))</f>
        <v/>
      </c>
      <c r="AB33" s="41" t="str">
        <f>IF(COUNTIF('Risk Register'!$R$7:$R$206,"5|F|5")=0,"",INDEX('Risk Register'!$A$7:$A$206,MATCH("5|F|5",'Risk Register'!$R$7:$R$206,0)))</f>
        <v/>
      </c>
      <c r="AC33" s="39" t="str">
        <f>IF(COUNTIF('Risk Register'!$R$7:$R$206,"6|F|1")=0,"",INDEX('Risk Register'!$A$7:$A$206,MATCH("6|F|1",'Risk Register'!$R$7:$R$206,0)))</f>
        <v/>
      </c>
      <c r="AD33" s="40" t="str">
        <f>IF(COUNTIF('Risk Register'!$R$7:$R$206,"6|F|2")=0,"",INDEX('Risk Register'!$A$7:$A$206,MATCH("6|F|2",'Risk Register'!$R$7:$R$206,0)))</f>
        <v/>
      </c>
      <c r="AE33" s="40" t="str">
        <f>IF(COUNTIF('Risk Register'!$R$7:$R$206,"6|F|3")=0,"",INDEX('Risk Register'!$A$7:$A$206,MATCH("6|F|3",'Risk Register'!$R$7:$R$206,0)))</f>
        <v/>
      </c>
      <c r="AF33" s="40" t="str">
        <f>IF(COUNTIF('Risk Register'!$R$7:$R$206,"6|F|4")=0,"",INDEX('Risk Register'!$A$7:$A$206,MATCH("6|F|4",'Risk Register'!$R$7:$R$206,0)))</f>
        <v/>
      </c>
      <c r="AG33" s="41" t="str">
        <f>IF(COUNTIF('Risk Register'!$R$7:$R$206,"6|F|5")=0,"",INDEX('Risk Register'!$A$7:$A$206,MATCH("6|F|5",'Risk Register'!$R$7:$R$206,0)))</f>
        <v/>
      </c>
      <c r="AH33" s="39" t="str">
        <f>IF(COUNTIF('Risk Register'!$R$7:$R$206,"7|F|1")=0,"",INDEX('Risk Register'!$A$7:$A$206,MATCH("7|F|1",'Risk Register'!$R$7:$R$206,0)))</f>
        <v/>
      </c>
      <c r="AI33" s="40" t="str">
        <f>IF(COUNTIF('Risk Register'!$R$7:$R$206,"7|F|2")=0,"",INDEX('Risk Register'!$A$7:$A$206,MATCH("7|F|2",'Risk Register'!$R$7:$R$206,0)))</f>
        <v/>
      </c>
      <c r="AJ33" s="40" t="str">
        <f>IF(COUNTIF('Risk Register'!$R$7:$R$206,"7|F|3")=0,"",INDEX('Risk Register'!$A$7:$A$206,MATCH("7|F|3",'Risk Register'!$R$7:$R$206,0)))</f>
        <v/>
      </c>
      <c r="AK33" s="40" t="str">
        <f>IF(COUNTIF('Risk Register'!$R$7:$R$206,"7|F|4")=0,"",INDEX('Risk Register'!$A$7:$A$206,MATCH("7|F|4",'Risk Register'!$R$7:$R$206,0)))</f>
        <v/>
      </c>
      <c r="AL33" s="41" t="str">
        <f>IF(COUNTIF('Risk Register'!$R$7:$R$206,"7|F|5")=0,"",INDEX('Risk Register'!$A$7:$A$206,MATCH("7|F|5",'Risk Register'!$R$7:$R$206,0)))</f>
        <v/>
      </c>
      <c r="AM33" s="39" t="str">
        <f>IF(COUNTIF('Risk Register'!$R$7:$R$206,"8|F|1")=0,"",INDEX('Risk Register'!$A$7:$A$206,MATCH("8|F|1",'Risk Register'!$R$7:$R$206,0)))</f>
        <v/>
      </c>
      <c r="AN33" s="40" t="str">
        <f>IF(COUNTIF('Risk Register'!$R$7:$R$206,"8|F|2")=0,"",INDEX('Risk Register'!$A$7:$A$206,MATCH("8|F|2",'Risk Register'!$R$7:$R$206,0)))</f>
        <v/>
      </c>
      <c r="AO33" s="40" t="str">
        <f>IF(COUNTIF('Risk Register'!$R$7:$R$206,"8|F|3")=0,"",INDEX('Risk Register'!$A$7:$A$206,MATCH("8|F|3",'Risk Register'!$R$7:$R$206,0)))</f>
        <v/>
      </c>
      <c r="AP33" s="40" t="str">
        <f>IF(COUNTIF('Risk Register'!$R$7:$R$206,"8|F|4")=0,"",INDEX('Risk Register'!$A$7:$A$206,MATCH("8|F|4",'Risk Register'!$R$7:$R$206,0)))</f>
        <v/>
      </c>
      <c r="AQ33" s="41" t="str">
        <f>IF(COUNTIF('Risk Register'!$R$7:$R$206,"8|F|5")=0,"",INDEX('Risk Register'!$A$7:$A$206,MATCH("8|F|5",'Risk Register'!$R$7:$R$206,0)))</f>
        <v/>
      </c>
      <c r="AS33" s="10">
        <f>IFERROR(INDEX('Risk Register'!$A$7:$A$206,26),"")</f>
        <v>26</v>
      </c>
      <c r="AT33" s="10" t="str">
        <f>IFERROR(INDEX('Risk Register'!$B$7:$B$206,26),"")</f>
        <v>Reservoir damage due to inappropriate drilling fluids</v>
      </c>
    </row>
    <row r="34" spans="2:46" ht="18" customHeight="1">
      <c r="B34" s="56"/>
      <c r="C34" s="58"/>
      <c r="D34" s="24" t="str">
        <f>IF(COUNTIF('Risk Register'!$R$7:$R$206,"1|F|6")=0,"",INDEX('Risk Register'!$A$7:$A$206,MATCH("1|F|6",'Risk Register'!$R$7:$R$206,0)))</f>
        <v/>
      </c>
      <c r="E34" s="25" t="str">
        <f>IF(COUNTIF('Risk Register'!$R$7:$R$206,"1|F|7")=0,"",INDEX('Risk Register'!$A$7:$A$206,MATCH("1|F|7",'Risk Register'!$R$7:$R$206,0)))</f>
        <v/>
      </c>
      <c r="F34" s="25" t="str">
        <f>IF(COUNTIF('Risk Register'!$R$7:$R$206,"1|F|8")=0,"",INDEX('Risk Register'!$A$7:$A$206,MATCH("1|F|8",'Risk Register'!$R$7:$R$206,0)))</f>
        <v/>
      </c>
      <c r="G34" s="25" t="str">
        <f>IF(COUNTIF('Risk Register'!$R$7:$R$206,"1|F|9")=0,"",INDEX('Risk Register'!$A$7:$A$206,MATCH("1|F|9",'Risk Register'!$R$7:$R$206,0)))</f>
        <v/>
      </c>
      <c r="H34" s="26" t="str">
        <f>IF(COUNTIF('Risk Register'!$R$7:$R$206,"1|F|10")=0,"",INDEX('Risk Register'!$A$7:$A$206,MATCH("1|F|10",'Risk Register'!$R$7:$R$206,0)))</f>
        <v/>
      </c>
      <c r="I34" s="24" t="str">
        <f>IF(COUNTIF('Risk Register'!$R$7:$R$206,"2|F|6")=0,"",INDEX('Risk Register'!$A$7:$A$206,MATCH("2|F|6",'Risk Register'!$R$7:$R$206,0)))</f>
        <v/>
      </c>
      <c r="J34" s="25" t="str">
        <f>IF(COUNTIF('Risk Register'!$R$7:$R$206,"2|F|7")=0,"",INDEX('Risk Register'!$A$7:$A$206,MATCH("2|F|7",'Risk Register'!$R$7:$R$206,0)))</f>
        <v/>
      </c>
      <c r="K34" s="25" t="str">
        <f>IF(COUNTIF('Risk Register'!$R$7:$R$206,"2|F|8")=0,"",INDEX('Risk Register'!$A$7:$A$206,MATCH("2|F|8",'Risk Register'!$R$7:$R$206,0)))</f>
        <v/>
      </c>
      <c r="L34" s="25" t="str">
        <f>IF(COUNTIF('Risk Register'!$R$7:$R$206,"2|F|9")=0,"",INDEX('Risk Register'!$A$7:$A$206,MATCH("2|F|9",'Risk Register'!$R$7:$R$206,0)))</f>
        <v/>
      </c>
      <c r="M34" s="26" t="str">
        <f>IF(COUNTIF('Risk Register'!$R$7:$R$206,"2|F|10")=0,"",INDEX('Risk Register'!$A$7:$A$206,MATCH("2|F|10",'Risk Register'!$R$7:$R$206,0)))</f>
        <v/>
      </c>
      <c r="N34" s="24" t="str">
        <f>IF(COUNTIF('Risk Register'!$R$7:$R$206,"3|F|6")=0,"",INDEX('Risk Register'!$A$7:$A$206,MATCH("3|F|6",'Risk Register'!$R$7:$R$206,0)))</f>
        <v/>
      </c>
      <c r="O34" s="25" t="str">
        <f>IF(COUNTIF('Risk Register'!$R$7:$R$206,"3|F|7")=0,"",INDEX('Risk Register'!$A$7:$A$206,MATCH("3|F|7",'Risk Register'!$R$7:$R$206,0)))</f>
        <v/>
      </c>
      <c r="P34" s="25" t="str">
        <f>IF(COUNTIF('Risk Register'!$R$7:$R$206,"3|F|8")=0,"",INDEX('Risk Register'!$A$7:$A$206,MATCH("3|F|8",'Risk Register'!$R$7:$R$206,0)))</f>
        <v/>
      </c>
      <c r="Q34" s="25" t="str">
        <f>IF(COUNTIF('Risk Register'!$R$7:$R$206,"3|F|9")=0,"",INDEX('Risk Register'!$A$7:$A$206,MATCH("3|F|9",'Risk Register'!$R$7:$R$206,0)))</f>
        <v/>
      </c>
      <c r="R34" s="26" t="str">
        <f>IF(COUNTIF('Risk Register'!$R$7:$R$206,"3|F|10")=0,"",INDEX('Risk Register'!$A$7:$A$206,MATCH("3|F|10",'Risk Register'!$R$7:$R$206,0)))</f>
        <v/>
      </c>
      <c r="S34" s="24" t="str">
        <f>IF(COUNTIF('Risk Register'!$R$7:$R$206,"4|F|6")=0,"",INDEX('Risk Register'!$A$7:$A$206,MATCH("4|F|6",'Risk Register'!$R$7:$R$206,0)))</f>
        <v/>
      </c>
      <c r="T34" s="25" t="str">
        <f>IF(COUNTIF('Risk Register'!$R$7:$R$206,"4|F|7")=0,"",INDEX('Risk Register'!$A$7:$A$206,MATCH("4|F|7",'Risk Register'!$R$7:$R$206,0)))</f>
        <v/>
      </c>
      <c r="U34" s="25" t="str">
        <f>IF(COUNTIF('Risk Register'!$R$7:$R$206,"4|F|8")=0,"",INDEX('Risk Register'!$A$7:$A$206,MATCH("4|F|8",'Risk Register'!$R$7:$R$206,0)))</f>
        <v/>
      </c>
      <c r="V34" s="25" t="str">
        <f>IF(COUNTIF('Risk Register'!$R$7:$R$206,"4|F|9")=0,"",INDEX('Risk Register'!$A$7:$A$206,MATCH("4|F|9",'Risk Register'!$R$7:$R$206,0)))</f>
        <v/>
      </c>
      <c r="W34" s="25" t="str">
        <f>IF(COUNTIF('Risk Register'!$R$7:$R$206,"4|F|10")=0,"",INDEX('Risk Register'!$A$7:$A$206,MATCH("4|F|10",'Risk Register'!$R$7:$R$206,0)))</f>
        <v/>
      </c>
      <c r="X34" s="42" t="str">
        <f>IF(COUNTIF('Risk Register'!$R$7:$R$206,"5|F|6")=0,"",INDEX('Risk Register'!$A$7:$A$206,MATCH("5|F|6",'Risk Register'!$R$7:$R$206,0)))</f>
        <v/>
      </c>
      <c r="Y34" s="43" t="str">
        <f>IF(COUNTIF('Risk Register'!$R$7:$R$206,"5|F|7")=0,"",INDEX('Risk Register'!$A$7:$A$206,MATCH("5|F|7",'Risk Register'!$R$7:$R$206,0)))</f>
        <v/>
      </c>
      <c r="Z34" s="43" t="str">
        <f>IF(COUNTIF('Risk Register'!$R$7:$R$206,"5|F|8")=0,"",INDEX('Risk Register'!$A$7:$A$206,MATCH("5|F|8",'Risk Register'!$R$7:$R$206,0)))</f>
        <v/>
      </c>
      <c r="AA34" s="43" t="str">
        <f>IF(COUNTIF('Risk Register'!$R$7:$R$206,"5|F|9")=0,"",INDEX('Risk Register'!$A$7:$A$206,MATCH("5|F|9",'Risk Register'!$R$7:$R$206,0)))</f>
        <v/>
      </c>
      <c r="AB34" s="44" t="str">
        <f>IF(COUNTIF('Risk Register'!$R$7:$R$206,"5|F|10")=0,"",INDEX('Risk Register'!$A$7:$A$206,MATCH("5|F|10",'Risk Register'!$R$7:$R$206,0)))</f>
        <v/>
      </c>
      <c r="AC34" s="42" t="str">
        <f>IF(COUNTIF('Risk Register'!$R$7:$R$206,"6|F|6")=0,"",INDEX('Risk Register'!$A$7:$A$206,MATCH("6|F|6",'Risk Register'!$R$7:$R$206,0)))</f>
        <v/>
      </c>
      <c r="AD34" s="43" t="str">
        <f>IF(COUNTIF('Risk Register'!$R$7:$R$206,"6|F|7")=0,"",INDEX('Risk Register'!$A$7:$A$206,MATCH("6|F|7",'Risk Register'!$R$7:$R$206,0)))</f>
        <v/>
      </c>
      <c r="AE34" s="43" t="str">
        <f>IF(COUNTIF('Risk Register'!$R$7:$R$206,"6|F|8")=0,"",INDEX('Risk Register'!$A$7:$A$206,MATCH("6|F|8",'Risk Register'!$R$7:$R$206,0)))</f>
        <v/>
      </c>
      <c r="AF34" s="43" t="str">
        <f>IF(COUNTIF('Risk Register'!$R$7:$R$206,"6|F|9")=0,"",INDEX('Risk Register'!$A$7:$A$206,MATCH("6|F|9",'Risk Register'!$R$7:$R$206,0)))</f>
        <v/>
      </c>
      <c r="AG34" s="44" t="str">
        <f>IF(COUNTIF('Risk Register'!$R$7:$R$206,"6|F|10")=0,"",INDEX('Risk Register'!$A$7:$A$206,MATCH("6|F|10",'Risk Register'!$R$7:$R$206,0)))</f>
        <v/>
      </c>
      <c r="AH34" s="42" t="str">
        <f>IF(COUNTIF('Risk Register'!$R$7:$R$206,"7|F|6")=0,"",INDEX('Risk Register'!$A$7:$A$206,MATCH("7|F|6",'Risk Register'!$R$7:$R$206,0)))</f>
        <v/>
      </c>
      <c r="AI34" s="43" t="str">
        <f>IF(COUNTIF('Risk Register'!$R$7:$R$206,"7|F|7")=0,"",INDEX('Risk Register'!$A$7:$A$206,MATCH("7|F|7",'Risk Register'!$R$7:$R$206,0)))</f>
        <v/>
      </c>
      <c r="AJ34" s="43" t="str">
        <f>IF(COUNTIF('Risk Register'!$R$7:$R$206,"7|F|8")=0,"",INDEX('Risk Register'!$A$7:$A$206,MATCH("7|F|8",'Risk Register'!$R$7:$R$206,0)))</f>
        <v/>
      </c>
      <c r="AK34" s="43" t="str">
        <f>IF(COUNTIF('Risk Register'!$R$7:$R$206,"7|F|9")=0,"",INDEX('Risk Register'!$A$7:$A$206,MATCH("7|F|9",'Risk Register'!$R$7:$R$206,0)))</f>
        <v/>
      </c>
      <c r="AL34" s="44" t="str">
        <f>IF(COUNTIF('Risk Register'!$R$7:$R$206,"7|F|10")=0,"",INDEX('Risk Register'!$A$7:$A$206,MATCH("7|F|10",'Risk Register'!$R$7:$R$206,0)))</f>
        <v/>
      </c>
      <c r="AM34" s="42" t="str">
        <f>IF(COUNTIF('Risk Register'!$R$7:$R$206,"8|F|6")=0,"",INDEX('Risk Register'!$A$7:$A$206,MATCH("8|F|6",'Risk Register'!$R$7:$R$206,0)))</f>
        <v/>
      </c>
      <c r="AN34" s="43" t="str">
        <f>IF(COUNTIF('Risk Register'!$R$7:$R$206,"8|F|7")=0,"",INDEX('Risk Register'!$A$7:$A$206,MATCH("8|F|7",'Risk Register'!$R$7:$R$206,0)))</f>
        <v/>
      </c>
      <c r="AO34" s="43" t="str">
        <f>IF(COUNTIF('Risk Register'!$R$7:$R$206,"8|F|8")=0,"",INDEX('Risk Register'!$A$7:$A$206,MATCH("8|F|8",'Risk Register'!$R$7:$R$206,0)))</f>
        <v/>
      </c>
      <c r="AP34" s="43" t="str">
        <f>IF(COUNTIF('Risk Register'!$R$7:$R$206,"8|F|9")=0,"",INDEX('Risk Register'!$A$7:$A$206,MATCH("8|F|9",'Risk Register'!$R$7:$R$206,0)))</f>
        <v/>
      </c>
      <c r="AQ34" s="44" t="str">
        <f>IF(COUNTIF('Risk Register'!$R$7:$R$206,"8|F|10")=0,"",INDEX('Risk Register'!$A$7:$A$206,MATCH("8|F|10",'Risk Register'!$R$7:$R$206,0)))</f>
        <v/>
      </c>
      <c r="AS34" s="10">
        <f>IFERROR(INDEX('Risk Register'!$A$7:$A$206,27),"")</f>
        <v>27</v>
      </c>
      <c r="AT34" s="10" t="str">
        <f>IFERROR(INDEX('Risk Register'!$B$7:$B$206,27),"")</f>
        <v>Junction Integrity Risk</v>
      </c>
    </row>
    <row r="35" spans="2:46" ht="18" customHeight="1">
      <c r="B35" s="56"/>
      <c r="C35" s="58"/>
      <c r="D35" s="24" t="str">
        <f>IF(COUNTIF('Risk Register'!$R$7:$R$206,"1|F|11")=0,"",INDEX('Risk Register'!$A$7:$A$206,MATCH("1|F|11",'Risk Register'!$R$7:$R$206,0)))</f>
        <v/>
      </c>
      <c r="E35" s="25" t="str">
        <f>IF(COUNTIF('Risk Register'!$R$7:$R$206,"1|F|12")=0,"",INDEX('Risk Register'!$A$7:$A$206,MATCH("1|F|12",'Risk Register'!$R$7:$R$206,0)))</f>
        <v/>
      </c>
      <c r="F35" s="25" t="str">
        <f>IF(COUNTIF('Risk Register'!$R$7:$R$206,"1|F|13")=0,"",INDEX('Risk Register'!$A$7:$A$206,MATCH("1|F|13",'Risk Register'!$R$7:$R$206,0)))</f>
        <v/>
      </c>
      <c r="G35" s="25" t="str">
        <f>IF(COUNTIF('Risk Register'!$R$7:$R$206,"1|F|14")=0,"",INDEX('Risk Register'!$A$7:$A$206,MATCH("1|F|14",'Risk Register'!$R$7:$R$206,0)))</f>
        <v/>
      </c>
      <c r="H35" s="26" t="str">
        <f>IF(COUNTIF('Risk Register'!$R$7:$R$206,"1|F|15")=0,"",INDEX('Risk Register'!$A$7:$A$206,MATCH("1|F|15",'Risk Register'!$R$7:$R$206,0)))</f>
        <v/>
      </c>
      <c r="I35" s="24" t="str">
        <f>IF(COUNTIF('Risk Register'!$R$7:$R$206,"2|F|11")=0,"",INDEX('Risk Register'!$A$7:$A$206,MATCH("2|F|11",'Risk Register'!$R$7:$R$206,0)))</f>
        <v/>
      </c>
      <c r="J35" s="25" t="str">
        <f>IF(COUNTIF('Risk Register'!$R$7:$R$206,"2|F|12")=0,"",INDEX('Risk Register'!$A$7:$A$206,MATCH("2|F|12",'Risk Register'!$R$7:$R$206,0)))</f>
        <v/>
      </c>
      <c r="K35" s="25" t="str">
        <f>IF(COUNTIF('Risk Register'!$R$7:$R$206,"2|F|13")=0,"",INDEX('Risk Register'!$A$7:$A$206,MATCH("2|F|13",'Risk Register'!$R$7:$R$206,0)))</f>
        <v/>
      </c>
      <c r="L35" s="25" t="str">
        <f>IF(COUNTIF('Risk Register'!$R$7:$R$206,"2|F|14")=0,"",INDEX('Risk Register'!$A$7:$A$206,MATCH("2|F|14",'Risk Register'!$R$7:$R$206,0)))</f>
        <v/>
      </c>
      <c r="M35" s="26" t="str">
        <f>IF(COUNTIF('Risk Register'!$R$7:$R$206,"2|F|15")=0,"",INDEX('Risk Register'!$A$7:$A$206,MATCH("2|F|15",'Risk Register'!$R$7:$R$206,0)))</f>
        <v/>
      </c>
      <c r="N35" s="24" t="str">
        <f>IF(COUNTIF('Risk Register'!$R$7:$R$206,"3|F|11")=0,"",INDEX('Risk Register'!$A$7:$A$206,MATCH("3|F|11",'Risk Register'!$R$7:$R$206,0)))</f>
        <v/>
      </c>
      <c r="O35" s="25" t="str">
        <f>IF(COUNTIF('Risk Register'!$R$7:$R$206,"3|F|12")=0,"",INDEX('Risk Register'!$A$7:$A$206,MATCH("3|F|12",'Risk Register'!$R$7:$R$206,0)))</f>
        <v/>
      </c>
      <c r="P35" s="25" t="str">
        <f>IF(COUNTIF('Risk Register'!$R$7:$R$206,"3|F|13")=0,"",INDEX('Risk Register'!$A$7:$A$206,MATCH("3|F|13",'Risk Register'!$R$7:$R$206,0)))</f>
        <v/>
      </c>
      <c r="Q35" s="25" t="str">
        <f>IF(COUNTIF('Risk Register'!$R$7:$R$206,"3|F|14")=0,"",INDEX('Risk Register'!$A$7:$A$206,MATCH("3|F|14",'Risk Register'!$R$7:$R$206,0)))</f>
        <v/>
      </c>
      <c r="R35" s="26" t="str">
        <f>IF(COUNTIF('Risk Register'!$R$7:$R$206,"3|F|15")=0,"",INDEX('Risk Register'!$A$7:$A$206,MATCH("3|F|15",'Risk Register'!$R$7:$R$206,0)))</f>
        <v/>
      </c>
      <c r="S35" s="24" t="str">
        <f>IF(COUNTIF('Risk Register'!$R$7:$R$206,"4|F|11")=0,"",INDEX('Risk Register'!$A$7:$A$206,MATCH("4|F|11",'Risk Register'!$R$7:$R$206,0)))</f>
        <v/>
      </c>
      <c r="T35" s="25" t="str">
        <f>IF(COUNTIF('Risk Register'!$R$7:$R$206,"4|F|12")=0,"",INDEX('Risk Register'!$A$7:$A$206,MATCH("4|F|12",'Risk Register'!$R$7:$R$206,0)))</f>
        <v/>
      </c>
      <c r="U35" s="25" t="str">
        <f>IF(COUNTIF('Risk Register'!$R$7:$R$206,"4|F|13")=0,"",INDEX('Risk Register'!$A$7:$A$206,MATCH("4|F|13",'Risk Register'!$R$7:$R$206,0)))</f>
        <v/>
      </c>
      <c r="V35" s="25" t="str">
        <f>IF(COUNTIF('Risk Register'!$R$7:$R$206,"4|F|14")=0,"",INDEX('Risk Register'!$A$7:$A$206,MATCH("4|F|14",'Risk Register'!$R$7:$R$206,0)))</f>
        <v/>
      </c>
      <c r="W35" s="25" t="str">
        <f>IF(COUNTIF('Risk Register'!$R$7:$R$206,"4|F|15")=0,"",INDEX('Risk Register'!$A$7:$A$206,MATCH("4|F|15",'Risk Register'!$R$7:$R$206,0)))</f>
        <v/>
      </c>
      <c r="X35" s="42" t="str">
        <f>IF(COUNTIF('Risk Register'!$R$7:$R$206,"5|F|11")=0,"",INDEX('Risk Register'!$A$7:$A$206,MATCH("5|F|11",'Risk Register'!$R$7:$R$206,0)))</f>
        <v/>
      </c>
      <c r="Y35" s="43" t="str">
        <f>IF(COUNTIF('Risk Register'!$R$7:$R$206,"5|F|12")=0,"",INDEX('Risk Register'!$A$7:$A$206,MATCH("5|F|12",'Risk Register'!$R$7:$R$206,0)))</f>
        <v/>
      </c>
      <c r="Z35" s="43" t="str">
        <f>IF(COUNTIF('Risk Register'!$R$7:$R$206,"5|F|13")=0,"",INDEX('Risk Register'!$A$7:$A$206,MATCH("5|F|13",'Risk Register'!$R$7:$R$206,0)))</f>
        <v/>
      </c>
      <c r="AA35" s="43" t="str">
        <f>IF(COUNTIF('Risk Register'!$R$7:$R$206,"5|F|14")=0,"",INDEX('Risk Register'!$A$7:$A$206,MATCH("5|F|14",'Risk Register'!$R$7:$R$206,0)))</f>
        <v/>
      </c>
      <c r="AB35" s="44" t="str">
        <f>IF(COUNTIF('Risk Register'!$R$7:$R$206,"5|F|15")=0,"",INDEX('Risk Register'!$A$7:$A$206,MATCH("5|F|15",'Risk Register'!$R$7:$R$206,0)))</f>
        <v/>
      </c>
      <c r="AC35" s="42" t="str">
        <f>IF(COUNTIF('Risk Register'!$R$7:$R$206,"6|F|11")=0,"",INDEX('Risk Register'!$A$7:$A$206,MATCH("6|F|11",'Risk Register'!$R$7:$R$206,0)))</f>
        <v/>
      </c>
      <c r="AD35" s="43" t="str">
        <f>IF(COUNTIF('Risk Register'!$R$7:$R$206,"6|F|12")=0,"",INDEX('Risk Register'!$A$7:$A$206,MATCH("6|F|12",'Risk Register'!$R$7:$R$206,0)))</f>
        <v/>
      </c>
      <c r="AE35" s="43" t="str">
        <f>IF(COUNTIF('Risk Register'!$R$7:$R$206,"6|F|13")=0,"",INDEX('Risk Register'!$A$7:$A$206,MATCH("6|F|13",'Risk Register'!$R$7:$R$206,0)))</f>
        <v/>
      </c>
      <c r="AF35" s="43" t="str">
        <f>IF(COUNTIF('Risk Register'!$R$7:$R$206,"6|F|14")=0,"",INDEX('Risk Register'!$A$7:$A$206,MATCH("6|F|14",'Risk Register'!$R$7:$R$206,0)))</f>
        <v/>
      </c>
      <c r="AG35" s="44" t="str">
        <f>IF(COUNTIF('Risk Register'!$R$7:$R$206,"6|F|15")=0,"",INDEX('Risk Register'!$A$7:$A$206,MATCH("6|F|15",'Risk Register'!$R$7:$R$206,0)))</f>
        <v/>
      </c>
      <c r="AH35" s="42" t="str">
        <f>IF(COUNTIF('Risk Register'!$R$7:$R$206,"7|F|11")=0,"",INDEX('Risk Register'!$A$7:$A$206,MATCH("7|F|11",'Risk Register'!$R$7:$R$206,0)))</f>
        <v/>
      </c>
      <c r="AI35" s="43" t="str">
        <f>IF(COUNTIF('Risk Register'!$R$7:$R$206,"7|F|12")=0,"",INDEX('Risk Register'!$A$7:$A$206,MATCH("7|F|12",'Risk Register'!$R$7:$R$206,0)))</f>
        <v/>
      </c>
      <c r="AJ35" s="43" t="str">
        <f>IF(COUNTIF('Risk Register'!$R$7:$R$206,"7|F|13")=0,"",INDEX('Risk Register'!$A$7:$A$206,MATCH("7|F|13",'Risk Register'!$R$7:$R$206,0)))</f>
        <v/>
      </c>
      <c r="AK35" s="43" t="str">
        <f>IF(COUNTIF('Risk Register'!$R$7:$R$206,"7|F|14")=0,"",INDEX('Risk Register'!$A$7:$A$206,MATCH("7|F|14",'Risk Register'!$R$7:$R$206,0)))</f>
        <v/>
      </c>
      <c r="AL35" s="44" t="str">
        <f>IF(COUNTIF('Risk Register'!$R$7:$R$206,"7|F|15")=0,"",INDEX('Risk Register'!$A$7:$A$206,MATCH("7|F|15",'Risk Register'!$R$7:$R$206,0)))</f>
        <v/>
      </c>
      <c r="AM35" s="42" t="str">
        <f>IF(COUNTIF('Risk Register'!$R$7:$R$206,"8|F|11")=0,"",INDEX('Risk Register'!$A$7:$A$206,MATCH("8|F|11",'Risk Register'!$R$7:$R$206,0)))</f>
        <v/>
      </c>
      <c r="AN35" s="43" t="str">
        <f>IF(COUNTIF('Risk Register'!$R$7:$R$206,"8|F|12")=0,"",INDEX('Risk Register'!$A$7:$A$206,MATCH("8|F|12",'Risk Register'!$R$7:$R$206,0)))</f>
        <v/>
      </c>
      <c r="AO35" s="43" t="str">
        <f>IF(COUNTIF('Risk Register'!$R$7:$R$206,"8|F|13")=0,"",INDEX('Risk Register'!$A$7:$A$206,MATCH("8|F|13",'Risk Register'!$R$7:$R$206,0)))</f>
        <v/>
      </c>
      <c r="AP35" s="43" t="str">
        <f>IF(COUNTIF('Risk Register'!$R$7:$R$206,"8|F|14")=0,"",INDEX('Risk Register'!$A$7:$A$206,MATCH("8|F|14",'Risk Register'!$R$7:$R$206,0)))</f>
        <v/>
      </c>
      <c r="AQ35" s="44" t="str">
        <f>IF(COUNTIF('Risk Register'!$R$7:$R$206,"8|F|15")=0,"",INDEX('Risk Register'!$A$7:$A$206,MATCH("8|F|15",'Risk Register'!$R$7:$R$206,0)))</f>
        <v/>
      </c>
      <c r="AS35" s="10">
        <f>IFERROR(INDEX('Risk Register'!$A$7:$A$206,28),"")</f>
        <v>28</v>
      </c>
      <c r="AT35" s="10" t="str">
        <f>IFERROR(INDEX('Risk Register'!$B$7:$B$206,28),"")</f>
        <v>Well Control Risk [Multilateral]</v>
      </c>
    </row>
    <row r="36" spans="2:46" ht="18" customHeight="1">
      <c r="B36" s="56"/>
      <c r="C36" s="58"/>
      <c r="D36" s="24" t="str">
        <f>IF(COUNTIF('Risk Register'!$R$7:$R$206,"1|F|16")=0,"",INDEX('Risk Register'!$A$7:$A$206,MATCH("1|F|16",'Risk Register'!$R$7:$R$206,0)))</f>
        <v/>
      </c>
      <c r="E36" s="25" t="str">
        <f>IF(COUNTIF('Risk Register'!$R$7:$R$206,"1|F|17")=0,"",INDEX('Risk Register'!$A$7:$A$206,MATCH("1|F|17",'Risk Register'!$R$7:$R$206,0)))</f>
        <v/>
      </c>
      <c r="F36" s="25" t="str">
        <f>IF(COUNTIF('Risk Register'!$R$7:$R$206,"1|F|18")=0,"",INDEX('Risk Register'!$A$7:$A$206,MATCH("1|F|18",'Risk Register'!$R$7:$R$206,0)))</f>
        <v/>
      </c>
      <c r="G36" s="25" t="str">
        <f>IF(COUNTIF('Risk Register'!$R$7:$R$206,"1|F|19")=0,"",INDEX('Risk Register'!$A$7:$A$206,MATCH("1|F|19",'Risk Register'!$R$7:$R$206,0)))</f>
        <v/>
      </c>
      <c r="H36" s="26" t="str">
        <f>IF(COUNTIF('Risk Register'!$R$7:$R$206,"1|F|20")=0,"",INDEX('Risk Register'!$A$7:$A$206,MATCH("1|F|20",'Risk Register'!$R$7:$R$206,0)))</f>
        <v/>
      </c>
      <c r="I36" s="24" t="str">
        <f>IF(COUNTIF('Risk Register'!$R$7:$R$206,"2|F|16")=0,"",INDEX('Risk Register'!$A$7:$A$206,MATCH("2|F|16",'Risk Register'!$R$7:$R$206,0)))</f>
        <v/>
      </c>
      <c r="J36" s="25" t="str">
        <f>IF(COUNTIF('Risk Register'!$R$7:$R$206,"2|F|17")=0,"",INDEX('Risk Register'!$A$7:$A$206,MATCH("2|F|17",'Risk Register'!$R$7:$R$206,0)))</f>
        <v/>
      </c>
      <c r="K36" s="25" t="str">
        <f>IF(COUNTIF('Risk Register'!$R$7:$R$206,"2|F|18")=0,"",INDEX('Risk Register'!$A$7:$A$206,MATCH("2|F|18",'Risk Register'!$R$7:$R$206,0)))</f>
        <v/>
      </c>
      <c r="L36" s="25" t="str">
        <f>IF(COUNTIF('Risk Register'!$R$7:$R$206,"2|F|19")=0,"",INDEX('Risk Register'!$A$7:$A$206,MATCH("2|F|19",'Risk Register'!$R$7:$R$206,0)))</f>
        <v/>
      </c>
      <c r="M36" s="26" t="str">
        <f>IF(COUNTIF('Risk Register'!$R$7:$R$206,"2|F|20")=0,"",INDEX('Risk Register'!$A$7:$A$206,MATCH("2|F|20",'Risk Register'!$R$7:$R$206,0)))</f>
        <v/>
      </c>
      <c r="N36" s="24" t="str">
        <f>IF(COUNTIF('Risk Register'!$R$7:$R$206,"3|F|16")=0,"",INDEX('Risk Register'!$A$7:$A$206,MATCH("3|F|16",'Risk Register'!$R$7:$R$206,0)))</f>
        <v/>
      </c>
      <c r="O36" s="25" t="str">
        <f>IF(COUNTIF('Risk Register'!$R$7:$R$206,"3|F|17")=0,"",INDEX('Risk Register'!$A$7:$A$206,MATCH("3|F|17",'Risk Register'!$R$7:$R$206,0)))</f>
        <v/>
      </c>
      <c r="P36" s="25" t="str">
        <f>IF(COUNTIF('Risk Register'!$R$7:$R$206,"3|F|18")=0,"",INDEX('Risk Register'!$A$7:$A$206,MATCH("3|F|18",'Risk Register'!$R$7:$R$206,0)))</f>
        <v/>
      </c>
      <c r="Q36" s="25" t="str">
        <f>IF(COUNTIF('Risk Register'!$R$7:$R$206,"3|F|19")=0,"",INDEX('Risk Register'!$A$7:$A$206,MATCH("3|F|19",'Risk Register'!$R$7:$R$206,0)))</f>
        <v/>
      </c>
      <c r="R36" s="26" t="str">
        <f>IF(COUNTIF('Risk Register'!$R$7:$R$206,"3|F|20")=0,"",INDEX('Risk Register'!$A$7:$A$206,MATCH("3|F|20",'Risk Register'!$R$7:$R$206,0)))</f>
        <v/>
      </c>
      <c r="S36" s="24" t="str">
        <f>IF(COUNTIF('Risk Register'!$R$7:$R$206,"4|F|16")=0,"",INDEX('Risk Register'!$A$7:$A$206,MATCH("4|F|16",'Risk Register'!$R$7:$R$206,0)))</f>
        <v/>
      </c>
      <c r="T36" s="25" t="str">
        <f>IF(COUNTIF('Risk Register'!$R$7:$R$206,"4|F|17")=0,"",INDEX('Risk Register'!$A$7:$A$206,MATCH("4|F|17",'Risk Register'!$R$7:$R$206,0)))</f>
        <v/>
      </c>
      <c r="U36" s="25" t="str">
        <f>IF(COUNTIF('Risk Register'!$R$7:$R$206,"4|F|18")=0,"",INDEX('Risk Register'!$A$7:$A$206,MATCH("4|F|18",'Risk Register'!$R$7:$R$206,0)))</f>
        <v/>
      </c>
      <c r="V36" s="25" t="str">
        <f>IF(COUNTIF('Risk Register'!$R$7:$R$206,"4|F|19")=0,"",INDEX('Risk Register'!$A$7:$A$206,MATCH("4|F|19",'Risk Register'!$R$7:$R$206,0)))</f>
        <v/>
      </c>
      <c r="W36" s="25" t="str">
        <f>IF(COUNTIF('Risk Register'!$R$7:$R$206,"4|F|20")=0,"",INDEX('Risk Register'!$A$7:$A$206,MATCH("4|F|20",'Risk Register'!$R$7:$R$206,0)))</f>
        <v/>
      </c>
      <c r="X36" s="42" t="str">
        <f>IF(COUNTIF('Risk Register'!$R$7:$R$206,"5|F|16")=0,"",INDEX('Risk Register'!$A$7:$A$206,MATCH("5|F|16",'Risk Register'!$R$7:$R$206,0)))</f>
        <v/>
      </c>
      <c r="Y36" s="43" t="str">
        <f>IF(COUNTIF('Risk Register'!$R$7:$R$206,"5|F|17")=0,"",INDEX('Risk Register'!$A$7:$A$206,MATCH("5|F|17",'Risk Register'!$R$7:$R$206,0)))</f>
        <v/>
      </c>
      <c r="Z36" s="43" t="str">
        <f>IF(COUNTIF('Risk Register'!$R$7:$R$206,"5|F|18")=0,"",INDEX('Risk Register'!$A$7:$A$206,MATCH("5|F|18",'Risk Register'!$R$7:$R$206,0)))</f>
        <v/>
      </c>
      <c r="AA36" s="43" t="str">
        <f>IF(COUNTIF('Risk Register'!$R$7:$R$206,"5|F|19")=0,"",INDEX('Risk Register'!$A$7:$A$206,MATCH("5|F|19",'Risk Register'!$R$7:$R$206,0)))</f>
        <v/>
      </c>
      <c r="AB36" s="44" t="str">
        <f>IF(COUNTIF('Risk Register'!$R$7:$R$206,"5|F|20")=0,"",INDEX('Risk Register'!$A$7:$A$206,MATCH("5|F|20",'Risk Register'!$R$7:$R$206,0)))</f>
        <v/>
      </c>
      <c r="AC36" s="42" t="str">
        <f>IF(COUNTIF('Risk Register'!$R$7:$R$206,"6|F|16")=0,"",INDEX('Risk Register'!$A$7:$A$206,MATCH("6|F|16",'Risk Register'!$R$7:$R$206,0)))</f>
        <v/>
      </c>
      <c r="AD36" s="43" t="str">
        <f>IF(COUNTIF('Risk Register'!$R$7:$R$206,"6|F|17")=0,"",INDEX('Risk Register'!$A$7:$A$206,MATCH("6|F|17",'Risk Register'!$R$7:$R$206,0)))</f>
        <v/>
      </c>
      <c r="AE36" s="43" t="str">
        <f>IF(COUNTIF('Risk Register'!$R$7:$R$206,"6|F|18")=0,"",INDEX('Risk Register'!$A$7:$A$206,MATCH("6|F|18",'Risk Register'!$R$7:$R$206,0)))</f>
        <v/>
      </c>
      <c r="AF36" s="43" t="str">
        <f>IF(COUNTIF('Risk Register'!$R$7:$R$206,"6|F|19")=0,"",INDEX('Risk Register'!$A$7:$A$206,MATCH("6|F|19",'Risk Register'!$R$7:$R$206,0)))</f>
        <v/>
      </c>
      <c r="AG36" s="44" t="str">
        <f>IF(COUNTIF('Risk Register'!$R$7:$R$206,"6|F|20")=0,"",INDEX('Risk Register'!$A$7:$A$206,MATCH("6|F|20",'Risk Register'!$R$7:$R$206,0)))</f>
        <v/>
      </c>
      <c r="AH36" s="42" t="str">
        <f>IF(COUNTIF('Risk Register'!$R$7:$R$206,"7|F|16")=0,"",INDEX('Risk Register'!$A$7:$A$206,MATCH("7|F|16",'Risk Register'!$R$7:$R$206,0)))</f>
        <v/>
      </c>
      <c r="AI36" s="43" t="str">
        <f>IF(COUNTIF('Risk Register'!$R$7:$R$206,"7|F|17")=0,"",INDEX('Risk Register'!$A$7:$A$206,MATCH("7|F|17",'Risk Register'!$R$7:$R$206,0)))</f>
        <v/>
      </c>
      <c r="AJ36" s="43" t="str">
        <f>IF(COUNTIF('Risk Register'!$R$7:$R$206,"7|F|18")=0,"",INDEX('Risk Register'!$A$7:$A$206,MATCH("7|F|18",'Risk Register'!$R$7:$R$206,0)))</f>
        <v/>
      </c>
      <c r="AK36" s="43" t="str">
        <f>IF(COUNTIF('Risk Register'!$R$7:$R$206,"7|F|19")=0,"",INDEX('Risk Register'!$A$7:$A$206,MATCH("7|F|19",'Risk Register'!$R$7:$R$206,0)))</f>
        <v/>
      </c>
      <c r="AL36" s="44" t="str">
        <f>IF(COUNTIF('Risk Register'!$R$7:$R$206,"7|F|20")=0,"",INDEX('Risk Register'!$A$7:$A$206,MATCH("7|F|20",'Risk Register'!$R$7:$R$206,0)))</f>
        <v/>
      </c>
      <c r="AM36" s="42" t="str">
        <f>IF(COUNTIF('Risk Register'!$R$7:$R$206,"8|F|16")=0,"",INDEX('Risk Register'!$A$7:$A$206,MATCH("8|F|16",'Risk Register'!$R$7:$R$206,0)))</f>
        <v/>
      </c>
      <c r="AN36" s="43" t="str">
        <f>IF(COUNTIF('Risk Register'!$R$7:$R$206,"8|F|17")=0,"",INDEX('Risk Register'!$A$7:$A$206,MATCH("8|F|17",'Risk Register'!$R$7:$R$206,0)))</f>
        <v/>
      </c>
      <c r="AO36" s="43" t="str">
        <f>IF(COUNTIF('Risk Register'!$R$7:$R$206,"8|F|18")=0,"",INDEX('Risk Register'!$A$7:$A$206,MATCH("8|F|18",'Risk Register'!$R$7:$R$206,0)))</f>
        <v/>
      </c>
      <c r="AP36" s="43" t="str">
        <f>IF(COUNTIF('Risk Register'!$R$7:$R$206,"8|F|19")=0,"",INDEX('Risk Register'!$A$7:$A$206,MATCH("8|F|19",'Risk Register'!$R$7:$R$206,0)))</f>
        <v/>
      </c>
      <c r="AQ36" s="44" t="str">
        <f>IF(COUNTIF('Risk Register'!$R$7:$R$206,"8|F|20")=0,"",INDEX('Risk Register'!$A$7:$A$206,MATCH("8|F|20",'Risk Register'!$R$7:$R$206,0)))</f>
        <v/>
      </c>
      <c r="AS36" s="10">
        <f>IFERROR(INDEX('Risk Register'!$A$7:$A$206,29),"")</f>
        <v>29</v>
      </c>
      <c r="AT36" s="10" t="str">
        <f>IFERROR(INDEX('Risk Register'!$B$7:$B$206,29),"")</f>
        <v>Task-Performance Risk</v>
      </c>
    </row>
    <row r="37" spans="2:46" ht="18" customHeight="1">
      <c r="B37" s="56"/>
      <c r="C37" s="58"/>
      <c r="D37" s="27" t="str">
        <f>IF(COUNTIF('Risk Register'!$R$7:$R$206,"1|F|21")=0,"",INDEX('Risk Register'!$A$7:$A$206,MATCH("1|F|21",'Risk Register'!$R$7:$R$206,0)))</f>
        <v/>
      </c>
      <c r="E37" s="28" t="str">
        <f>IF(COUNTIF('Risk Register'!$R$7:$R$206,"1|F|22")=0,"",INDEX('Risk Register'!$A$7:$A$206,MATCH("1|F|22",'Risk Register'!$R$7:$R$206,0)))</f>
        <v/>
      </c>
      <c r="F37" s="28" t="str">
        <f>IF(COUNTIF('Risk Register'!$R$7:$R$206,"1|F|23")=0,"",INDEX('Risk Register'!$A$7:$A$206,MATCH("1|F|23",'Risk Register'!$R$7:$R$206,0)))</f>
        <v/>
      </c>
      <c r="G37" s="28" t="str">
        <f>IF(COUNTIF('Risk Register'!$R$7:$R$206,"1|F|24")=0,"",INDEX('Risk Register'!$A$7:$A$206,MATCH("1|F|24",'Risk Register'!$R$7:$R$206,0)))</f>
        <v/>
      </c>
      <c r="H37" s="29" t="str">
        <f>IF(COUNTIF('Risk Register'!$R$7:$R$206,"1|F|25")=0,"",INDEX('Risk Register'!$A$7:$A$206,MATCH("1|F|25",'Risk Register'!$R$7:$R$206,0)))</f>
        <v/>
      </c>
      <c r="I37" s="27" t="str">
        <f>IF(COUNTIF('Risk Register'!$R$7:$R$206,"2|F|21")=0,"",INDEX('Risk Register'!$A$7:$A$206,MATCH("2|F|21",'Risk Register'!$R$7:$R$206,0)))</f>
        <v/>
      </c>
      <c r="J37" s="28" t="str">
        <f>IF(COUNTIF('Risk Register'!$R$7:$R$206,"2|F|22")=0,"",INDEX('Risk Register'!$A$7:$A$206,MATCH("2|F|22",'Risk Register'!$R$7:$R$206,0)))</f>
        <v/>
      </c>
      <c r="K37" s="28" t="str">
        <f>IF(COUNTIF('Risk Register'!$R$7:$R$206,"2|F|23")=0,"",INDEX('Risk Register'!$A$7:$A$206,MATCH("2|F|23",'Risk Register'!$R$7:$R$206,0)))</f>
        <v/>
      </c>
      <c r="L37" s="28" t="str">
        <f>IF(COUNTIF('Risk Register'!$R$7:$R$206,"2|F|24")=0,"",INDEX('Risk Register'!$A$7:$A$206,MATCH("2|F|24",'Risk Register'!$R$7:$R$206,0)))</f>
        <v/>
      </c>
      <c r="M37" s="29" t="str">
        <f>IF(COUNTIF('Risk Register'!$R$7:$R$206,"2|F|25")=0,"",INDEX('Risk Register'!$A$7:$A$206,MATCH("2|F|25",'Risk Register'!$R$7:$R$206,0)))</f>
        <v/>
      </c>
      <c r="N37" s="27" t="str">
        <f>IF(COUNTIF('Risk Register'!$R$7:$R$206,"3|F|21")=0,"",INDEX('Risk Register'!$A$7:$A$206,MATCH("3|F|21",'Risk Register'!$R$7:$R$206,0)))</f>
        <v/>
      </c>
      <c r="O37" s="28" t="str">
        <f>IF(COUNTIF('Risk Register'!$R$7:$R$206,"3|F|22")=0,"",INDEX('Risk Register'!$A$7:$A$206,MATCH("3|F|22",'Risk Register'!$R$7:$R$206,0)))</f>
        <v/>
      </c>
      <c r="P37" s="28" t="str">
        <f>IF(COUNTIF('Risk Register'!$R$7:$R$206,"3|F|23")=0,"",INDEX('Risk Register'!$A$7:$A$206,MATCH("3|F|23",'Risk Register'!$R$7:$R$206,0)))</f>
        <v/>
      </c>
      <c r="Q37" s="28" t="str">
        <f>IF(COUNTIF('Risk Register'!$R$7:$R$206,"3|F|24")=0,"",INDEX('Risk Register'!$A$7:$A$206,MATCH("3|F|24",'Risk Register'!$R$7:$R$206,0)))</f>
        <v/>
      </c>
      <c r="R37" s="29" t="str">
        <f>IF(COUNTIF('Risk Register'!$R$7:$R$206,"3|F|25")=0,"",INDEX('Risk Register'!$A$7:$A$206,MATCH("3|F|25",'Risk Register'!$R$7:$R$206,0)))</f>
        <v/>
      </c>
      <c r="S37" s="27" t="str">
        <f>IF(COUNTIF('Risk Register'!$R$7:$R$206,"4|F|21")=0,"",INDEX('Risk Register'!$A$7:$A$206,MATCH("4|F|21",'Risk Register'!$R$7:$R$206,0)))</f>
        <v/>
      </c>
      <c r="T37" s="28" t="str">
        <f>IF(COUNTIF('Risk Register'!$R$7:$R$206,"4|F|22")=0,"",INDEX('Risk Register'!$A$7:$A$206,MATCH("4|F|22",'Risk Register'!$R$7:$R$206,0)))</f>
        <v/>
      </c>
      <c r="U37" s="28" t="str">
        <f>IF(COUNTIF('Risk Register'!$R$7:$R$206,"4|F|23")=0,"",INDEX('Risk Register'!$A$7:$A$206,MATCH("4|F|23",'Risk Register'!$R$7:$R$206,0)))</f>
        <v/>
      </c>
      <c r="V37" s="28" t="str">
        <f>IF(COUNTIF('Risk Register'!$R$7:$R$206,"4|F|24")=0,"",INDEX('Risk Register'!$A$7:$A$206,MATCH("4|F|24",'Risk Register'!$R$7:$R$206,0)))</f>
        <v/>
      </c>
      <c r="W37" s="28" t="str">
        <f>IF(COUNTIF('Risk Register'!$R$7:$R$206,"4|F|25")=0,"",INDEX('Risk Register'!$A$7:$A$206,MATCH("4|F|25",'Risk Register'!$R$7:$R$206,0)))</f>
        <v/>
      </c>
      <c r="X37" s="45" t="str">
        <f>IF(COUNTIF('Risk Register'!$R$7:$R$206,"5|F|21")=0,"",INDEX('Risk Register'!$A$7:$A$206,MATCH("5|F|21",'Risk Register'!$R$7:$R$206,0)))</f>
        <v/>
      </c>
      <c r="Y37" s="46" t="str">
        <f>IF(COUNTIF('Risk Register'!$R$7:$R$206,"5|F|22")=0,"",INDEX('Risk Register'!$A$7:$A$206,MATCH("5|F|22",'Risk Register'!$R$7:$R$206,0)))</f>
        <v/>
      </c>
      <c r="Z37" s="46" t="str">
        <f>IF(COUNTIF('Risk Register'!$R$7:$R$206,"5|F|23")=0,"",INDEX('Risk Register'!$A$7:$A$206,MATCH("5|F|23",'Risk Register'!$R$7:$R$206,0)))</f>
        <v/>
      </c>
      <c r="AA37" s="46" t="str">
        <f>IF(COUNTIF('Risk Register'!$R$7:$R$206,"5|F|24")=0,"",INDEX('Risk Register'!$A$7:$A$206,MATCH("5|F|24",'Risk Register'!$R$7:$R$206,0)))</f>
        <v/>
      </c>
      <c r="AB37" s="47" t="str">
        <f>IF(COUNTIF('Risk Register'!$R$7:$R$206,"5|F|25")=0,"",INDEX('Risk Register'!$A$7:$A$206,MATCH("5|F|25",'Risk Register'!$R$7:$R$206,0)))</f>
        <v/>
      </c>
      <c r="AC37" s="45" t="str">
        <f>IF(COUNTIF('Risk Register'!$R$7:$R$206,"6|F|21")=0,"",INDEX('Risk Register'!$A$7:$A$206,MATCH("6|F|21",'Risk Register'!$R$7:$R$206,0)))</f>
        <v/>
      </c>
      <c r="AD37" s="46" t="str">
        <f>IF(COUNTIF('Risk Register'!$R$7:$R$206,"6|F|22")=0,"",INDEX('Risk Register'!$A$7:$A$206,MATCH("6|F|22",'Risk Register'!$R$7:$R$206,0)))</f>
        <v/>
      </c>
      <c r="AE37" s="46" t="str">
        <f>IF(COUNTIF('Risk Register'!$R$7:$R$206,"6|F|23")=0,"",INDEX('Risk Register'!$A$7:$A$206,MATCH("6|F|23",'Risk Register'!$R$7:$R$206,0)))</f>
        <v/>
      </c>
      <c r="AF37" s="46" t="str">
        <f>IF(COUNTIF('Risk Register'!$R$7:$R$206,"6|F|24")=0,"",INDEX('Risk Register'!$A$7:$A$206,MATCH("6|F|24",'Risk Register'!$R$7:$R$206,0)))</f>
        <v/>
      </c>
      <c r="AG37" s="47" t="str">
        <f>IF(COUNTIF('Risk Register'!$R$7:$R$206,"6|F|25")=0,"",INDEX('Risk Register'!$A$7:$A$206,MATCH("6|F|25",'Risk Register'!$R$7:$R$206,0)))</f>
        <v/>
      </c>
      <c r="AH37" s="45" t="str">
        <f>IF(COUNTIF('Risk Register'!$R$7:$R$206,"7|F|21")=0,"",INDEX('Risk Register'!$A$7:$A$206,MATCH("7|F|21",'Risk Register'!$R$7:$R$206,0)))</f>
        <v/>
      </c>
      <c r="AI37" s="46" t="str">
        <f>IF(COUNTIF('Risk Register'!$R$7:$R$206,"7|F|22")=0,"",INDEX('Risk Register'!$A$7:$A$206,MATCH("7|F|22",'Risk Register'!$R$7:$R$206,0)))</f>
        <v/>
      </c>
      <c r="AJ37" s="46" t="str">
        <f>IF(COUNTIF('Risk Register'!$R$7:$R$206,"7|F|23")=0,"",INDEX('Risk Register'!$A$7:$A$206,MATCH("7|F|23",'Risk Register'!$R$7:$R$206,0)))</f>
        <v/>
      </c>
      <c r="AK37" s="46" t="str">
        <f>IF(COUNTIF('Risk Register'!$R$7:$R$206,"7|F|24")=0,"",INDEX('Risk Register'!$A$7:$A$206,MATCH("7|F|24",'Risk Register'!$R$7:$R$206,0)))</f>
        <v/>
      </c>
      <c r="AL37" s="47" t="str">
        <f>IF(COUNTIF('Risk Register'!$R$7:$R$206,"7|F|25")=0,"",INDEX('Risk Register'!$A$7:$A$206,MATCH("7|F|25",'Risk Register'!$R$7:$R$206,0)))</f>
        <v/>
      </c>
      <c r="AM37" s="45" t="str">
        <f>IF(COUNTIF('Risk Register'!$R$7:$R$206,"8|F|21")=0,"",INDEX('Risk Register'!$A$7:$A$206,MATCH("8|F|21",'Risk Register'!$R$7:$R$206,0)))</f>
        <v/>
      </c>
      <c r="AN37" s="46" t="str">
        <f>IF(COUNTIF('Risk Register'!$R$7:$R$206,"8|F|22")=0,"",INDEX('Risk Register'!$A$7:$A$206,MATCH("8|F|22",'Risk Register'!$R$7:$R$206,0)))</f>
        <v/>
      </c>
      <c r="AO37" s="46" t="str">
        <f>IF(COUNTIF('Risk Register'!$R$7:$R$206,"8|F|23")=0,"",INDEX('Risk Register'!$A$7:$A$206,MATCH("8|F|23",'Risk Register'!$R$7:$R$206,0)))</f>
        <v/>
      </c>
      <c r="AP37" s="46" t="str">
        <f>IF(COUNTIF('Risk Register'!$R$7:$R$206,"8|F|24")=0,"",INDEX('Risk Register'!$A$7:$A$206,MATCH("8|F|24",'Risk Register'!$R$7:$R$206,0)))</f>
        <v/>
      </c>
      <c r="AQ37" s="47" t="str">
        <f>IF(COUNTIF('Risk Register'!$R$7:$R$206,"8|F|25")=0,"",INDEX('Risk Register'!$A$7:$A$206,MATCH("8|F|25",'Risk Register'!$R$7:$R$206,0)))</f>
        <v/>
      </c>
      <c r="AS37" s="10">
        <f>IFERROR(INDEX('Risk Register'!$A$7:$A$206,30),"")</f>
        <v>30</v>
      </c>
      <c r="AT37" s="10" t="str">
        <f>IFERROR(INDEX('Risk Register'!$B$7:$B$206,30),"")</f>
        <v>Fluid Management Risk</v>
      </c>
    </row>
    <row r="38" spans="2:46" ht="18" customHeight="1">
      <c r="B38" s="56"/>
      <c r="C38" s="58" t="s">
        <v>34</v>
      </c>
      <c r="D38" s="21" t="str">
        <f>IF(COUNTIF('Risk Register'!$R$7:$R$206,"1|G|1")=0,"",INDEX('Risk Register'!$A$7:$A$206,MATCH("1|G|1",'Risk Register'!$R$7:$R$206,0)))</f>
        <v/>
      </c>
      <c r="E38" s="22" t="str">
        <f>IF(COUNTIF('Risk Register'!$R$7:$R$206,"1|G|2")=0,"",INDEX('Risk Register'!$A$7:$A$206,MATCH("1|G|2",'Risk Register'!$R$7:$R$206,0)))</f>
        <v/>
      </c>
      <c r="F38" s="22" t="str">
        <f>IF(COUNTIF('Risk Register'!$R$7:$R$206,"1|G|3")=0,"",INDEX('Risk Register'!$A$7:$A$206,MATCH("1|G|3",'Risk Register'!$R$7:$R$206,0)))</f>
        <v/>
      </c>
      <c r="G38" s="22" t="str">
        <f>IF(COUNTIF('Risk Register'!$R$7:$R$206,"1|G|4")=0,"",INDEX('Risk Register'!$A$7:$A$206,MATCH("1|G|4",'Risk Register'!$R$7:$R$206,0)))</f>
        <v/>
      </c>
      <c r="H38" s="23" t="str">
        <f>IF(COUNTIF('Risk Register'!$R$7:$R$206,"1|G|5")=0,"",INDEX('Risk Register'!$A$7:$A$206,MATCH("1|G|5",'Risk Register'!$R$7:$R$206,0)))</f>
        <v/>
      </c>
      <c r="I38" s="21">
        <f>IF(COUNTIF('Risk Register'!$R$7:$R$206,"2|G|1")=0,"",INDEX('Risk Register'!$A$7:$A$206,MATCH("2|G|1",'Risk Register'!$R$7:$R$206,0)))</f>
        <v>17</v>
      </c>
      <c r="J38" s="22">
        <f>IF(COUNTIF('Risk Register'!$R$7:$R$206,"2|G|2")=0,"",INDEX('Risk Register'!$A$7:$A$206,MATCH("2|G|2",'Risk Register'!$R$7:$R$206,0)))</f>
        <v>18</v>
      </c>
      <c r="K38" s="22">
        <f>IF(COUNTIF('Risk Register'!$R$7:$R$206,"2|G|3")=0,"",INDEX('Risk Register'!$A$7:$A$206,MATCH("2|G|3",'Risk Register'!$R$7:$R$206,0)))</f>
        <v>33</v>
      </c>
      <c r="L38" s="22" t="str">
        <f>IF(COUNTIF('Risk Register'!$R$7:$R$206,"2|G|4")=0,"",INDEX('Risk Register'!$A$7:$A$206,MATCH("2|G|4",'Risk Register'!$R$7:$R$206,0)))</f>
        <v/>
      </c>
      <c r="M38" s="23" t="str">
        <f>IF(COUNTIF('Risk Register'!$R$7:$R$206,"2|G|5")=0,"",INDEX('Risk Register'!$A$7:$A$206,MATCH("2|G|5",'Risk Register'!$R$7:$R$206,0)))</f>
        <v/>
      </c>
      <c r="N38" s="21">
        <f>IF(COUNTIF('Risk Register'!$R$7:$R$206,"3|G|1")=0,"",INDEX('Risk Register'!$A$7:$A$206,MATCH("3|G|1",'Risk Register'!$R$7:$R$206,0)))</f>
        <v>26</v>
      </c>
      <c r="O38" s="22" t="str">
        <f>IF(COUNTIF('Risk Register'!$R$7:$R$206,"3|G|2")=0,"",INDEX('Risk Register'!$A$7:$A$206,MATCH("3|G|2",'Risk Register'!$R$7:$R$206,0)))</f>
        <v/>
      </c>
      <c r="P38" s="22" t="str">
        <f>IF(COUNTIF('Risk Register'!$R$7:$R$206,"3|G|3")=0,"",INDEX('Risk Register'!$A$7:$A$206,MATCH("3|G|3",'Risk Register'!$R$7:$R$206,0)))</f>
        <v/>
      </c>
      <c r="Q38" s="22" t="str">
        <f>IF(COUNTIF('Risk Register'!$R$7:$R$206,"3|G|4")=0,"",INDEX('Risk Register'!$A$7:$A$206,MATCH("3|G|4",'Risk Register'!$R$7:$R$206,0)))</f>
        <v/>
      </c>
      <c r="R38" s="23" t="str">
        <f>IF(COUNTIF('Risk Register'!$R$7:$R$206,"3|G|5")=0,"",INDEX('Risk Register'!$A$7:$A$206,MATCH("3|G|5",'Risk Register'!$R$7:$R$206,0)))</f>
        <v/>
      </c>
      <c r="S38" s="21">
        <f>IF(COUNTIF('Risk Register'!$R$7:$R$206,"4|G|1")=0,"",INDEX('Risk Register'!$A$7:$A$206,MATCH("4|G|1",'Risk Register'!$R$7:$R$206,0)))</f>
        <v>6</v>
      </c>
      <c r="T38" s="22">
        <f>IF(COUNTIF('Risk Register'!$R$7:$R$206,"4|G|2")=0,"",INDEX('Risk Register'!$A$7:$A$206,MATCH("4|G|2",'Risk Register'!$R$7:$R$206,0)))</f>
        <v>31</v>
      </c>
      <c r="U38" s="22" t="str">
        <f>IF(COUNTIF('Risk Register'!$R$7:$R$206,"4|G|3")=0,"",INDEX('Risk Register'!$A$7:$A$206,MATCH("4|G|3",'Risk Register'!$R$7:$R$206,0)))</f>
        <v/>
      </c>
      <c r="V38" s="22" t="str">
        <f>IF(COUNTIF('Risk Register'!$R$7:$R$206,"4|G|4")=0,"",INDEX('Risk Register'!$A$7:$A$206,MATCH("4|G|4",'Risk Register'!$R$7:$R$206,0)))</f>
        <v/>
      </c>
      <c r="W38" s="23" t="str">
        <f>IF(COUNTIF('Risk Register'!$R$7:$R$206,"4|G|5")=0,"",INDEX('Risk Register'!$A$7:$A$206,MATCH("4|G|5",'Risk Register'!$R$7:$R$206,0)))</f>
        <v/>
      </c>
      <c r="X38" s="21" t="str">
        <f>IF(COUNTIF('Risk Register'!$R$7:$R$206,"5|G|1")=0,"",INDEX('Risk Register'!$A$7:$A$206,MATCH("5|G|1",'Risk Register'!$R$7:$R$206,0)))</f>
        <v/>
      </c>
      <c r="Y38" s="22" t="str">
        <f>IF(COUNTIF('Risk Register'!$R$7:$R$206,"5|G|2")=0,"",INDEX('Risk Register'!$A$7:$A$206,MATCH("5|G|2",'Risk Register'!$R$7:$R$206,0)))</f>
        <v/>
      </c>
      <c r="Z38" s="22" t="str">
        <f>IF(COUNTIF('Risk Register'!$R$7:$R$206,"5|G|3")=0,"",INDEX('Risk Register'!$A$7:$A$206,MATCH("5|G|3",'Risk Register'!$R$7:$R$206,0)))</f>
        <v/>
      </c>
      <c r="AA38" s="22" t="str">
        <f>IF(COUNTIF('Risk Register'!$R$7:$R$206,"5|G|4")=0,"",INDEX('Risk Register'!$A$7:$A$206,MATCH("5|G|4",'Risk Register'!$R$7:$R$206,0)))</f>
        <v/>
      </c>
      <c r="AB38" s="23" t="str">
        <f>IF(COUNTIF('Risk Register'!$R$7:$R$206,"5|G|5")=0,"",INDEX('Risk Register'!$A$7:$A$206,MATCH("5|G|5",'Risk Register'!$R$7:$R$206,0)))</f>
        <v/>
      </c>
      <c r="AC38" s="39" t="str">
        <f>IF(COUNTIF('Risk Register'!$R$7:$R$206,"6|G|1")=0,"",INDEX('Risk Register'!$A$7:$A$206,MATCH("6|G|1",'Risk Register'!$R$7:$R$206,0)))</f>
        <v/>
      </c>
      <c r="AD38" s="40" t="str">
        <f>IF(COUNTIF('Risk Register'!$R$7:$R$206,"6|G|2")=0,"",INDEX('Risk Register'!$A$7:$A$206,MATCH("6|G|2",'Risk Register'!$R$7:$R$206,0)))</f>
        <v/>
      </c>
      <c r="AE38" s="40" t="str">
        <f>IF(COUNTIF('Risk Register'!$R$7:$R$206,"6|G|3")=0,"",INDEX('Risk Register'!$A$7:$A$206,MATCH("6|G|3",'Risk Register'!$R$7:$R$206,0)))</f>
        <v/>
      </c>
      <c r="AF38" s="40" t="str">
        <f>IF(COUNTIF('Risk Register'!$R$7:$R$206,"6|G|4")=0,"",INDEX('Risk Register'!$A$7:$A$206,MATCH("6|G|4",'Risk Register'!$R$7:$R$206,0)))</f>
        <v/>
      </c>
      <c r="AG38" s="41" t="str">
        <f>IF(COUNTIF('Risk Register'!$R$7:$R$206,"6|G|5")=0,"",INDEX('Risk Register'!$A$7:$A$206,MATCH("6|G|5",'Risk Register'!$R$7:$R$206,0)))</f>
        <v/>
      </c>
      <c r="AH38" s="39" t="str">
        <f>IF(COUNTIF('Risk Register'!$R$7:$R$206,"7|G|1")=0,"",INDEX('Risk Register'!$A$7:$A$206,MATCH("7|G|1",'Risk Register'!$R$7:$R$206,0)))</f>
        <v/>
      </c>
      <c r="AI38" s="40" t="str">
        <f>IF(COUNTIF('Risk Register'!$R$7:$R$206,"7|G|2")=0,"",INDEX('Risk Register'!$A$7:$A$206,MATCH("7|G|2",'Risk Register'!$R$7:$R$206,0)))</f>
        <v/>
      </c>
      <c r="AJ38" s="40" t="str">
        <f>IF(COUNTIF('Risk Register'!$R$7:$R$206,"7|G|3")=0,"",INDEX('Risk Register'!$A$7:$A$206,MATCH("7|G|3",'Risk Register'!$R$7:$R$206,0)))</f>
        <v/>
      </c>
      <c r="AK38" s="40" t="str">
        <f>IF(COUNTIF('Risk Register'!$R$7:$R$206,"7|G|4")=0,"",INDEX('Risk Register'!$A$7:$A$206,MATCH("7|G|4",'Risk Register'!$R$7:$R$206,0)))</f>
        <v/>
      </c>
      <c r="AL38" s="41" t="str">
        <f>IF(COUNTIF('Risk Register'!$R$7:$R$206,"7|G|5")=0,"",INDEX('Risk Register'!$A$7:$A$206,MATCH("7|G|5",'Risk Register'!$R$7:$R$206,0)))</f>
        <v/>
      </c>
      <c r="AM38" s="39" t="str">
        <f>IF(COUNTIF('Risk Register'!$R$7:$R$206,"8|G|1")=0,"",INDEX('Risk Register'!$A$7:$A$206,MATCH("8|G|1",'Risk Register'!$R$7:$R$206,0)))</f>
        <v/>
      </c>
      <c r="AN38" s="40" t="str">
        <f>IF(COUNTIF('Risk Register'!$R$7:$R$206,"8|G|2")=0,"",INDEX('Risk Register'!$A$7:$A$206,MATCH("8|G|2",'Risk Register'!$R$7:$R$206,0)))</f>
        <v/>
      </c>
      <c r="AO38" s="40" t="str">
        <f>IF(COUNTIF('Risk Register'!$R$7:$R$206,"8|G|3")=0,"",INDEX('Risk Register'!$A$7:$A$206,MATCH("8|G|3",'Risk Register'!$R$7:$R$206,0)))</f>
        <v/>
      </c>
      <c r="AP38" s="40" t="str">
        <f>IF(COUNTIF('Risk Register'!$R$7:$R$206,"8|G|4")=0,"",INDEX('Risk Register'!$A$7:$A$206,MATCH("8|G|4",'Risk Register'!$R$7:$R$206,0)))</f>
        <v/>
      </c>
      <c r="AQ38" s="41" t="str">
        <f>IF(COUNTIF('Risk Register'!$R$7:$R$206,"8|G|5")=0,"",INDEX('Risk Register'!$A$7:$A$206,MATCH("8|G|5",'Risk Register'!$R$7:$R$206,0)))</f>
        <v/>
      </c>
      <c r="AS38" s="10">
        <f>IFERROR(INDEX('Risk Register'!$A$7:$A$206,31),"")</f>
        <v>31</v>
      </c>
      <c r="AT38" s="10" t="str">
        <f>IFERROR(INDEX('Risk Register'!$B$7:$B$206,31),"")</f>
        <v>Operational Time Risk</v>
      </c>
    </row>
    <row r="39" spans="2:46" ht="18" customHeight="1">
      <c r="B39" s="56"/>
      <c r="C39" s="58"/>
      <c r="D39" s="24" t="str">
        <f>IF(COUNTIF('Risk Register'!$R$7:$R$206,"1|G|6")=0,"",INDEX('Risk Register'!$A$7:$A$206,MATCH("1|G|6",'Risk Register'!$R$7:$R$206,0)))</f>
        <v/>
      </c>
      <c r="E39" s="25" t="str">
        <f>IF(COUNTIF('Risk Register'!$R$7:$R$206,"1|G|7")=0,"",INDEX('Risk Register'!$A$7:$A$206,MATCH("1|G|7",'Risk Register'!$R$7:$R$206,0)))</f>
        <v/>
      </c>
      <c r="F39" s="25" t="str">
        <f>IF(COUNTIF('Risk Register'!$R$7:$R$206,"1|G|8")=0,"",INDEX('Risk Register'!$A$7:$A$206,MATCH("1|G|8",'Risk Register'!$R$7:$R$206,0)))</f>
        <v/>
      </c>
      <c r="G39" s="25" t="str">
        <f>IF(COUNTIF('Risk Register'!$R$7:$R$206,"1|G|9")=0,"",INDEX('Risk Register'!$A$7:$A$206,MATCH("1|G|9",'Risk Register'!$R$7:$R$206,0)))</f>
        <v/>
      </c>
      <c r="H39" s="26" t="str">
        <f>IF(COUNTIF('Risk Register'!$R$7:$R$206,"1|G|10")=0,"",INDEX('Risk Register'!$A$7:$A$206,MATCH("1|G|10",'Risk Register'!$R$7:$R$206,0)))</f>
        <v/>
      </c>
      <c r="I39" s="24" t="str">
        <f>IF(COUNTIF('Risk Register'!$R$7:$R$206,"2|G|6")=0,"",INDEX('Risk Register'!$A$7:$A$206,MATCH("2|G|6",'Risk Register'!$R$7:$R$206,0)))</f>
        <v/>
      </c>
      <c r="J39" s="25" t="str">
        <f>IF(COUNTIF('Risk Register'!$R$7:$R$206,"2|G|7")=0,"",INDEX('Risk Register'!$A$7:$A$206,MATCH("2|G|7",'Risk Register'!$R$7:$R$206,0)))</f>
        <v/>
      </c>
      <c r="K39" s="25" t="str">
        <f>IF(COUNTIF('Risk Register'!$R$7:$R$206,"2|G|8")=0,"",INDEX('Risk Register'!$A$7:$A$206,MATCH("2|G|8",'Risk Register'!$R$7:$R$206,0)))</f>
        <v/>
      </c>
      <c r="L39" s="25" t="str">
        <f>IF(COUNTIF('Risk Register'!$R$7:$R$206,"2|G|9")=0,"",INDEX('Risk Register'!$A$7:$A$206,MATCH("2|G|9",'Risk Register'!$R$7:$R$206,0)))</f>
        <v/>
      </c>
      <c r="M39" s="26" t="str">
        <f>IF(COUNTIF('Risk Register'!$R$7:$R$206,"2|G|10")=0,"",INDEX('Risk Register'!$A$7:$A$206,MATCH("2|G|10",'Risk Register'!$R$7:$R$206,0)))</f>
        <v/>
      </c>
      <c r="N39" s="24" t="str">
        <f>IF(COUNTIF('Risk Register'!$R$7:$R$206,"3|G|6")=0,"",INDEX('Risk Register'!$A$7:$A$206,MATCH("3|G|6",'Risk Register'!$R$7:$R$206,0)))</f>
        <v/>
      </c>
      <c r="O39" s="25" t="str">
        <f>IF(COUNTIF('Risk Register'!$R$7:$R$206,"3|G|7")=0,"",INDEX('Risk Register'!$A$7:$A$206,MATCH("3|G|7",'Risk Register'!$R$7:$R$206,0)))</f>
        <v/>
      </c>
      <c r="P39" s="25" t="str">
        <f>IF(COUNTIF('Risk Register'!$R$7:$R$206,"3|G|8")=0,"",INDEX('Risk Register'!$A$7:$A$206,MATCH("3|G|8",'Risk Register'!$R$7:$R$206,0)))</f>
        <v/>
      </c>
      <c r="Q39" s="25" t="str">
        <f>IF(COUNTIF('Risk Register'!$R$7:$R$206,"3|G|9")=0,"",INDEX('Risk Register'!$A$7:$A$206,MATCH("3|G|9",'Risk Register'!$R$7:$R$206,0)))</f>
        <v/>
      </c>
      <c r="R39" s="26" t="str">
        <f>IF(COUNTIF('Risk Register'!$R$7:$R$206,"3|G|10")=0,"",INDEX('Risk Register'!$A$7:$A$206,MATCH("3|G|10",'Risk Register'!$R$7:$R$206,0)))</f>
        <v/>
      </c>
      <c r="S39" s="24" t="str">
        <f>IF(COUNTIF('Risk Register'!$R$7:$R$206,"4|G|6")=0,"",INDEX('Risk Register'!$A$7:$A$206,MATCH("4|G|6",'Risk Register'!$R$7:$R$206,0)))</f>
        <v/>
      </c>
      <c r="T39" s="25" t="str">
        <f>IF(COUNTIF('Risk Register'!$R$7:$R$206,"4|G|7")=0,"",INDEX('Risk Register'!$A$7:$A$206,MATCH("4|G|7",'Risk Register'!$R$7:$R$206,0)))</f>
        <v/>
      </c>
      <c r="U39" s="25" t="str">
        <f>IF(COUNTIF('Risk Register'!$R$7:$R$206,"4|G|8")=0,"",INDEX('Risk Register'!$A$7:$A$206,MATCH("4|G|8",'Risk Register'!$R$7:$R$206,0)))</f>
        <v/>
      </c>
      <c r="V39" s="25" t="str">
        <f>IF(COUNTIF('Risk Register'!$R$7:$R$206,"4|G|9")=0,"",INDEX('Risk Register'!$A$7:$A$206,MATCH("4|G|9",'Risk Register'!$R$7:$R$206,0)))</f>
        <v/>
      </c>
      <c r="W39" s="26" t="str">
        <f>IF(COUNTIF('Risk Register'!$R$7:$R$206,"4|G|10")=0,"",INDEX('Risk Register'!$A$7:$A$206,MATCH("4|G|10",'Risk Register'!$R$7:$R$206,0)))</f>
        <v/>
      </c>
      <c r="X39" s="24" t="str">
        <f>IF(COUNTIF('Risk Register'!$R$7:$R$206,"5|G|6")=0,"",INDEX('Risk Register'!$A$7:$A$206,MATCH("5|G|6",'Risk Register'!$R$7:$R$206,0)))</f>
        <v/>
      </c>
      <c r="Y39" s="25" t="str">
        <f>IF(COUNTIF('Risk Register'!$R$7:$R$206,"5|G|7")=0,"",INDEX('Risk Register'!$A$7:$A$206,MATCH("5|G|7",'Risk Register'!$R$7:$R$206,0)))</f>
        <v/>
      </c>
      <c r="Z39" s="25" t="str">
        <f>IF(COUNTIF('Risk Register'!$R$7:$R$206,"5|G|8")=0,"",INDEX('Risk Register'!$A$7:$A$206,MATCH("5|G|8",'Risk Register'!$R$7:$R$206,0)))</f>
        <v/>
      </c>
      <c r="AA39" s="25" t="str">
        <f>IF(COUNTIF('Risk Register'!$R$7:$R$206,"5|G|9")=0,"",INDEX('Risk Register'!$A$7:$A$206,MATCH("5|G|9",'Risk Register'!$R$7:$R$206,0)))</f>
        <v/>
      </c>
      <c r="AB39" s="26" t="str">
        <f>IF(COUNTIF('Risk Register'!$R$7:$R$206,"5|G|10")=0,"",INDEX('Risk Register'!$A$7:$A$206,MATCH("5|G|10",'Risk Register'!$R$7:$R$206,0)))</f>
        <v/>
      </c>
      <c r="AC39" s="42" t="str">
        <f>IF(COUNTIF('Risk Register'!$R$7:$R$206,"6|G|6")=0,"",INDEX('Risk Register'!$A$7:$A$206,MATCH("6|G|6",'Risk Register'!$R$7:$R$206,0)))</f>
        <v/>
      </c>
      <c r="AD39" s="43" t="str">
        <f>IF(COUNTIF('Risk Register'!$R$7:$R$206,"6|G|7")=0,"",INDEX('Risk Register'!$A$7:$A$206,MATCH("6|G|7",'Risk Register'!$R$7:$R$206,0)))</f>
        <v/>
      </c>
      <c r="AE39" s="43" t="str">
        <f>IF(COUNTIF('Risk Register'!$R$7:$R$206,"6|G|8")=0,"",INDEX('Risk Register'!$A$7:$A$206,MATCH("6|G|8",'Risk Register'!$R$7:$R$206,0)))</f>
        <v/>
      </c>
      <c r="AF39" s="43" t="str">
        <f>IF(COUNTIF('Risk Register'!$R$7:$R$206,"6|G|9")=0,"",INDEX('Risk Register'!$A$7:$A$206,MATCH("6|G|9",'Risk Register'!$R$7:$R$206,0)))</f>
        <v/>
      </c>
      <c r="AG39" s="44" t="str">
        <f>IF(COUNTIF('Risk Register'!$R$7:$R$206,"6|G|10")=0,"",INDEX('Risk Register'!$A$7:$A$206,MATCH("6|G|10",'Risk Register'!$R$7:$R$206,0)))</f>
        <v/>
      </c>
      <c r="AH39" s="42" t="str">
        <f>IF(COUNTIF('Risk Register'!$R$7:$R$206,"7|G|6")=0,"",INDEX('Risk Register'!$A$7:$A$206,MATCH("7|G|6",'Risk Register'!$R$7:$R$206,0)))</f>
        <v/>
      </c>
      <c r="AI39" s="43" t="str">
        <f>IF(COUNTIF('Risk Register'!$R$7:$R$206,"7|G|7")=0,"",INDEX('Risk Register'!$A$7:$A$206,MATCH("7|G|7",'Risk Register'!$R$7:$R$206,0)))</f>
        <v/>
      </c>
      <c r="AJ39" s="43" t="str">
        <f>IF(COUNTIF('Risk Register'!$R$7:$R$206,"7|G|8")=0,"",INDEX('Risk Register'!$A$7:$A$206,MATCH("7|G|8",'Risk Register'!$R$7:$R$206,0)))</f>
        <v/>
      </c>
      <c r="AK39" s="43" t="str">
        <f>IF(COUNTIF('Risk Register'!$R$7:$R$206,"7|G|9")=0,"",INDEX('Risk Register'!$A$7:$A$206,MATCH("7|G|9",'Risk Register'!$R$7:$R$206,0)))</f>
        <v/>
      </c>
      <c r="AL39" s="44" t="str">
        <f>IF(COUNTIF('Risk Register'!$R$7:$R$206,"7|G|10")=0,"",INDEX('Risk Register'!$A$7:$A$206,MATCH("7|G|10",'Risk Register'!$R$7:$R$206,0)))</f>
        <v/>
      </c>
      <c r="AM39" s="42" t="str">
        <f>IF(COUNTIF('Risk Register'!$R$7:$R$206,"8|G|6")=0,"",INDEX('Risk Register'!$A$7:$A$206,MATCH("8|G|6",'Risk Register'!$R$7:$R$206,0)))</f>
        <v/>
      </c>
      <c r="AN39" s="43" t="str">
        <f>IF(COUNTIF('Risk Register'!$R$7:$R$206,"8|G|7")=0,"",INDEX('Risk Register'!$A$7:$A$206,MATCH("8|G|7",'Risk Register'!$R$7:$R$206,0)))</f>
        <v/>
      </c>
      <c r="AO39" s="43" t="str">
        <f>IF(COUNTIF('Risk Register'!$R$7:$R$206,"8|G|8")=0,"",INDEX('Risk Register'!$A$7:$A$206,MATCH("8|G|8",'Risk Register'!$R$7:$R$206,0)))</f>
        <v/>
      </c>
      <c r="AP39" s="43" t="str">
        <f>IF(COUNTIF('Risk Register'!$R$7:$R$206,"8|G|9")=0,"",INDEX('Risk Register'!$A$7:$A$206,MATCH("8|G|9",'Risk Register'!$R$7:$R$206,0)))</f>
        <v/>
      </c>
      <c r="AQ39" s="44" t="str">
        <f>IF(COUNTIF('Risk Register'!$R$7:$R$206,"8|G|10")=0,"",INDEX('Risk Register'!$A$7:$A$206,MATCH("8|G|10",'Risk Register'!$R$7:$R$206,0)))</f>
        <v/>
      </c>
      <c r="AS39" s="10">
        <f>IFERROR(INDEX('Risk Register'!$A$7:$A$206,32),"")</f>
        <v>32</v>
      </c>
      <c r="AT39" s="10" t="str">
        <f>IFERROR(INDEX('Risk Register'!$B$7:$B$206,32),"")</f>
        <v>Tight spot in OH either due to chemical or mechanical borehole instability</v>
      </c>
    </row>
    <row r="40" spans="2:46" ht="18" customHeight="1">
      <c r="B40" s="56"/>
      <c r="C40" s="58"/>
      <c r="D40" s="24" t="str">
        <f>IF(COUNTIF('Risk Register'!$R$7:$R$206,"1|G|11")=0,"",INDEX('Risk Register'!$A$7:$A$206,MATCH("1|G|11",'Risk Register'!$R$7:$R$206,0)))</f>
        <v/>
      </c>
      <c r="E40" s="25" t="str">
        <f>IF(COUNTIF('Risk Register'!$R$7:$R$206,"1|G|12")=0,"",INDEX('Risk Register'!$A$7:$A$206,MATCH("1|G|12",'Risk Register'!$R$7:$R$206,0)))</f>
        <v/>
      </c>
      <c r="F40" s="25" t="str">
        <f>IF(COUNTIF('Risk Register'!$R$7:$R$206,"1|G|13")=0,"",INDEX('Risk Register'!$A$7:$A$206,MATCH("1|G|13",'Risk Register'!$R$7:$R$206,0)))</f>
        <v/>
      </c>
      <c r="G40" s="25" t="str">
        <f>IF(COUNTIF('Risk Register'!$R$7:$R$206,"1|G|14")=0,"",INDEX('Risk Register'!$A$7:$A$206,MATCH("1|G|14",'Risk Register'!$R$7:$R$206,0)))</f>
        <v/>
      </c>
      <c r="H40" s="26" t="str">
        <f>IF(COUNTIF('Risk Register'!$R$7:$R$206,"1|G|15")=0,"",INDEX('Risk Register'!$A$7:$A$206,MATCH("1|G|15",'Risk Register'!$R$7:$R$206,0)))</f>
        <v/>
      </c>
      <c r="I40" s="24" t="str">
        <f>IF(COUNTIF('Risk Register'!$R$7:$R$206,"2|G|11")=0,"",INDEX('Risk Register'!$A$7:$A$206,MATCH("2|G|11",'Risk Register'!$R$7:$R$206,0)))</f>
        <v/>
      </c>
      <c r="J40" s="25" t="str">
        <f>IF(COUNTIF('Risk Register'!$R$7:$R$206,"2|G|12")=0,"",INDEX('Risk Register'!$A$7:$A$206,MATCH("2|G|12",'Risk Register'!$R$7:$R$206,0)))</f>
        <v/>
      </c>
      <c r="K40" s="25" t="str">
        <f>IF(COUNTIF('Risk Register'!$R$7:$R$206,"2|G|13")=0,"",INDEX('Risk Register'!$A$7:$A$206,MATCH("2|G|13",'Risk Register'!$R$7:$R$206,0)))</f>
        <v/>
      </c>
      <c r="L40" s="25" t="str">
        <f>IF(COUNTIF('Risk Register'!$R$7:$R$206,"2|G|14")=0,"",INDEX('Risk Register'!$A$7:$A$206,MATCH("2|G|14",'Risk Register'!$R$7:$R$206,0)))</f>
        <v/>
      </c>
      <c r="M40" s="26" t="str">
        <f>IF(COUNTIF('Risk Register'!$R$7:$R$206,"2|G|15")=0,"",INDEX('Risk Register'!$A$7:$A$206,MATCH("2|G|15",'Risk Register'!$R$7:$R$206,0)))</f>
        <v/>
      </c>
      <c r="N40" s="24" t="str">
        <f>IF(COUNTIF('Risk Register'!$R$7:$R$206,"3|G|11")=0,"",INDEX('Risk Register'!$A$7:$A$206,MATCH("3|G|11",'Risk Register'!$R$7:$R$206,0)))</f>
        <v/>
      </c>
      <c r="O40" s="25" t="str">
        <f>IF(COUNTIF('Risk Register'!$R$7:$R$206,"3|G|12")=0,"",INDEX('Risk Register'!$A$7:$A$206,MATCH("3|G|12",'Risk Register'!$R$7:$R$206,0)))</f>
        <v/>
      </c>
      <c r="P40" s="25" t="str">
        <f>IF(COUNTIF('Risk Register'!$R$7:$R$206,"3|G|13")=0,"",INDEX('Risk Register'!$A$7:$A$206,MATCH("3|G|13",'Risk Register'!$R$7:$R$206,0)))</f>
        <v/>
      </c>
      <c r="Q40" s="25" t="str">
        <f>IF(COUNTIF('Risk Register'!$R$7:$R$206,"3|G|14")=0,"",INDEX('Risk Register'!$A$7:$A$206,MATCH("3|G|14",'Risk Register'!$R$7:$R$206,0)))</f>
        <v/>
      </c>
      <c r="R40" s="26" t="str">
        <f>IF(COUNTIF('Risk Register'!$R$7:$R$206,"3|G|15")=0,"",INDEX('Risk Register'!$A$7:$A$206,MATCH("3|G|15",'Risk Register'!$R$7:$R$206,0)))</f>
        <v/>
      </c>
      <c r="S40" s="24" t="str">
        <f>IF(COUNTIF('Risk Register'!$R$7:$R$206,"4|G|11")=0,"",INDEX('Risk Register'!$A$7:$A$206,MATCH("4|G|11",'Risk Register'!$R$7:$R$206,0)))</f>
        <v/>
      </c>
      <c r="T40" s="25" t="str">
        <f>IF(COUNTIF('Risk Register'!$R$7:$R$206,"4|G|12")=0,"",INDEX('Risk Register'!$A$7:$A$206,MATCH("4|G|12",'Risk Register'!$R$7:$R$206,0)))</f>
        <v/>
      </c>
      <c r="U40" s="25" t="str">
        <f>IF(COUNTIF('Risk Register'!$R$7:$R$206,"4|G|13")=0,"",INDEX('Risk Register'!$A$7:$A$206,MATCH("4|G|13",'Risk Register'!$R$7:$R$206,0)))</f>
        <v/>
      </c>
      <c r="V40" s="25" t="str">
        <f>IF(COUNTIF('Risk Register'!$R$7:$R$206,"4|G|14")=0,"",INDEX('Risk Register'!$A$7:$A$206,MATCH("4|G|14",'Risk Register'!$R$7:$R$206,0)))</f>
        <v/>
      </c>
      <c r="W40" s="26" t="str">
        <f>IF(COUNTIF('Risk Register'!$R$7:$R$206,"4|G|15")=0,"",INDEX('Risk Register'!$A$7:$A$206,MATCH("4|G|15",'Risk Register'!$R$7:$R$206,0)))</f>
        <v/>
      </c>
      <c r="X40" s="24" t="str">
        <f>IF(COUNTIF('Risk Register'!$R$7:$R$206,"5|G|11")=0,"",INDEX('Risk Register'!$A$7:$A$206,MATCH("5|G|11",'Risk Register'!$R$7:$R$206,0)))</f>
        <v/>
      </c>
      <c r="Y40" s="25" t="str">
        <f>IF(COUNTIF('Risk Register'!$R$7:$R$206,"5|G|12")=0,"",INDEX('Risk Register'!$A$7:$A$206,MATCH("5|G|12",'Risk Register'!$R$7:$R$206,0)))</f>
        <v/>
      </c>
      <c r="Z40" s="25" t="str">
        <f>IF(COUNTIF('Risk Register'!$R$7:$R$206,"5|G|13")=0,"",INDEX('Risk Register'!$A$7:$A$206,MATCH("5|G|13",'Risk Register'!$R$7:$R$206,0)))</f>
        <v/>
      </c>
      <c r="AA40" s="25" t="str">
        <f>IF(COUNTIF('Risk Register'!$R$7:$R$206,"5|G|14")=0,"",INDEX('Risk Register'!$A$7:$A$206,MATCH("5|G|14",'Risk Register'!$R$7:$R$206,0)))</f>
        <v/>
      </c>
      <c r="AB40" s="26" t="str">
        <f>IF(COUNTIF('Risk Register'!$R$7:$R$206,"5|G|15")=0,"",INDEX('Risk Register'!$A$7:$A$206,MATCH("5|G|15",'Risk Register'!$R$7:$R$206,0)))</f>
        <v/>
      </c>
      <c r="AC40" s="42" t="str">
        <f>IF(COUNTIF('Risk Register'!$R$7:$R$206,"6|G|11")=0,"",INDEX('Risk Register'!$A$7:$A$206,MATCH("6|G|11",'Risk Register'!$R$7:$R$206,0)))</f>
        <v/>
      </c>
      <c r="AD40" s="43" t="str">
        <f>IF(COUNTIF('Risk Register'!$R$7:$R$206,"6|G|12")=0,"",INDEX('Risk Register'!$A$7:$A$206,MATCH("6|G|12",'Risk Register'!$R$7:$R$206,0)))</f>
        <v/>
      </c>
      <c r="AE40" s="43" t="str">
        <f>IF(COUNTIF('Risk Register'!$R$7:$R$206,"6|G|13")=0,"",INDEX('Risk Register'!$A$7:$A$206,MATCH("6|G|13",'Risk Register'!$R$7:$R$206,0)))</f>
        <v/>
      </c>
      <c r="AF40" s="43" t="str">
        <f>IF(COUNTIF('Risk Register'!$R$7:$R$206,"6|G|14")=0,"",INDEX('Risk Register'!$A$7:$A$206,MATCH("6|G|14",'Risk Register'!$R$7:$R$206,0)))</f>
        <v/>
      </c>
      <c r="AG40" s="44" t="str">
        <f>IF(COUNTIF('Risk Register'!$R$7:$R$206,"6|G|15")=0,"",INDEX('Risk Register'!$A$7:$A$206,MATCH("6|G|15",'Risk Register'!$R$7:$R$206,0)))</f>
        <v/>
      </c>
      <c r="AH40" s="42" t="str">
        <f>IF(COUNTIF('Risk Register'!$R$7:$R$206,"7|G|11")=0,"",INDEX('Risk Register'!$A$7:$A$206,MATCH("7|G|11",'Risk Register'!$R$7:$R$206,0)))</f>
        <v/>
      </c>
      <c r="AI40" s="43" t="str">
        <f>IF(COUNTIF('Risk Register'!$R$7:$R$206,"7|G|12")=0,"",INDEX('Risk Register'!$A$7:$A$206,MATCH("7|G|12",'Risk Register'!$R$7:$R$206,0)))</f>
        <v/>
      </c>
      <c r="AJ40" s="43" t="str">
        <f>IF(COUNTIF('Risk Register'!$R$7:$R$206,"7|G|13")=0,"",INDEX('Risk Register'!$A$7:$A$206,MATCH("7|G|13",'Risk Register'!$R$7:$R$206,0)))</f>
        <v/>
      </c>
      <c r="AK40" s="43" t="str">
        <f>IF(COUNTIF('Risk Register'!$R$7:$R$206,"7|G|14")=0,"",INDEX('Risk Register'!$A$7:$A$206,MATCH("7|G|14",'Risk Register'!$R$7:$R$206,0)))</f>
        <v/>
      </c>
      <c r="AL40" s="44" t="str">
        <f>IF(COUNTIF('Risk Register'!$R$7:$R$206,"7|G|15")=0,"",INDEX('Risk Register'!$A$7:$A$206,MATCH("7|G|15",'Risk Register'!$R$7:$R$206,0)))</f>
        <v/>
      </c>
      <c r="AM40" s="42" t="str">
        <f>IF(COUNTIF('Risk Register'!$R$7:$R$206,"8|G|11")=0,"",INDEX('Risk Register'!$A$7:$A$206,MATCH("8|G|11",'Risk Register'!$R$7:$R$206,0)))</f>
        <v/>
      </c>
      <c r="AN40" s="43" t="str">
        <f>IF(COUNTIF('Risk Register'!$R$7:$R$206,"8|G|12")=0,"",INDEX('Risk Register'!$A$7:$A$206,MATCH("8|G|12",'Risk Register'!$R$7:$R$206,0)))</f>
        <v/>
      </c>
      <c r="AO40" s="43" t="str">
        <f>IF(COUNTIF('Risk Register'!$R$7:$R$206,"8|G|13")=0,"",INDEX('Risk Register'!$A$7:$A$206,MATCH("8|G|13",'Risk Register'!$R$7:$R$206,0)))</f>
        <v/>
      </c>
      <c r="AP40" s="43" t="str">
        <f>IF(COUNTIF('Risk Register'!$R$7:$R$206,"8|G|14")=0,"",INDEX('Risk Register'!$A$7:$A$206,MATCH("8|G|14",'Risk Register'!$R$7:$R$206,0)))</f>
        <v/>
      </c>
      <c r="AQ40" s="44" t="str">
        <f>IF(COUNTIF('Risk Register'!$R$7:$R$206,"8|G|15")=0,"",INDEX('Risk Register'!$A$7:$A$206,MATCH("8|G|15",'Risk Register'!$R$7:$R$206,0)))</f>
        <v/>
      </c>
      <c r="AS40" s="10">
        <f>IFERROR(INDEX('Risk Register'!$A$7:$A$206,33),"")</f>
        <v>33</v>
      </c>
      <c r="AT40" s="10" t="str">
        <f>IFERROR(INDEX('Risk Register'!$B$7:$B$206,33),"")</f>
        <v>Bit related issues : Bit balling, bit wear</v>
      </c>
    </row>
    <row r="41" spans="2:46" ht="18" customHeight="1">
      <c r="B41" s="56"/>
      <c r="C41" s="58"/>
      <c r="D41" s="24" t="str">
        <f>IF(COUNTIF('Risk Register'!$R$7:$R$206,"1|G|16")=0,"",INDEX('Risk Register'!$A$7:$A$206,MATCH("1|G|16",'Risk Register'!$R$7:$R$206,0)))</f>
        <v/>
      </c>
      <c r="E41" s="25" t="str">
        <f>IF(COUNTIF('Risk Register'!$R$7:$R$206,"1|G|17")=0,"",INDEX('Risk Register'!$A$7:$A$206,MATCH("1|G|17",'Risk Register'!$R$7:$R$206,0)))</f>
        <v/>
      </c>
      <c r="F41" s="25" t="str">
        <f>IF(COUNTIF('Risk Register'!$R$7:$R$206,"1|G|18")=0,"",INDEX('Risk Register'!$A$7:$A$206,MATCH("1|G|18",'Risk Register'!$R$7:$R$206,0)))</f>
        <v/>
      </c>
      <c r="G41" s="25" t="str">
        <f>IF(COUNTIF('Risk Register'!$R$7:$R$206,"1|G|19")=0,"",INDEX('Risk Register'!$A$7:$A$206,MATCH("1|G|19",'Risk Register'!$R$7:$R$206,0)))</f>
        <v/>
      </c>
      <c r="H41" s="26" t="str">
        <f>IF(COUNTIF('Risk Register'!$R$7:$R$206,"1|G|20")=0,"",INDEX('Risk Register'!$A$7:$A$206,MATCH("1|G|20",'Risk Register'!$R$7:$R$206,0)))</f>
        <v/>
      </c>
      <c r="I41" s="24" t="str">
        <f>IF(COUNTIF('Risk Register'!$R$7:$R$206,"2|G|16")=0,"",INDEX('Risk Register'!$A$7:$A$206,MATCH("2|G|16",'Risk Register'!$R$7:$R$206,0)))</f>
        <v/>
      </c>
      <c r="J41" s="25" t="str">
        <f>IF(COUNTIF('Risk Register'!$R$7:$R$206,"2|G|17")=0,"",INDEX('Risk Register'!$A$7:$A$206,MATCH("2|G|17",'Risk Register'!$R$7:$R$206,0)))</f>
        <v/>
      </c>
      <c r="K41" s="25" t="str">
        <f>IF(COUNTIF('Risk Register'!$R$7:$R$206,"2|G|18")=0,"",INDEX('Risk Register'!$A$7:$A$206,MATCH("2|G|18",'Risk Register'!$R$7:$R$206,0)))</f>
        <v/>
      </c>
      <c r="L41" s="25" t="str">
        <f>IF(COUNTIF('Risk Register'!$R$7:$R$206,"2|G|19")=0,"",INDEX('Risk Register'!$A$7:$A$206,MATCH("2|G|19",'Risk Register'!$R$7:$R$206,0)))</f>
        <v/>
      </c>
      <c r="M41" s="26" t="str">
        <f>IF(COUNTIF('Risk Register'!$R$7:$R$206,"2|G|20")=0,"",INDEX('Risk Register'!$A$7:$A$206,MATCH("2|G|20",'Risk Register'!$R$7:$R$206,0)))</f>
        <v/>
      </c>
      <c r="N41" s="24" t="str">
        <f>IF(COUNTIF('Risk Register'!$R$7:$R$206,"3|G|16")=0,"",INDEX('Risk Register'!$A$7:$A$206,MATCH("3|G|16",'Risk Register'!$R$7:$R$206,0)))</f>
        <v/>
      </c>
      <c r="O41" s="25" t="str">
        <f>IF(COUNTIF('Risk Register'!$R$7:$R$206,"3|G|17")=0,"",INDEX('Risk Register'!$A$7:$A$206,MATCH("3|G|17",'Risk Register'!$R$7:$R$206,0)))</f>
        <v/>
      </c>
      <c r="P41" s="25" t="str">
        <f>IF(COUNTIF('Risk Register'!$R$7:$R$206,"3|G|18")=0,"",INDEX('Risk Register'!$A$7:$A$206,MATCH("3|G|18",'Risk Register'!$R$7:$R$206,0)))</f>
        <v/>
      </c>
      <c r="Q41" s="25" t="str">
        <f>IF(COUNTIF('Risk Register'!$R$7:$R$206,"3|G|19")=0,"",INDEX('Risk Register'!$A$7:$A$206,MATCH("3|G|19",'Risk Register'!$R$7:$R$206,0)))</f>
        <v/>
      </c>
      <c r="R41" s="26" t="str">
        <f>IF(COUNTIF('Risk Register'!$R$7:$R$206,"3|G|20")=0,"",INDEX('Risk Register'!$A$7:$A$206,MATCH("3|G|20",'Risk Register'!$R$7:$R$206,0)))</f>
        <v/>
      </c>
      <c r="S41" s="24" t="str">
        <f>IF(COUNTIF('Risk Register'!$R$7:$R$206,"4|G|16")=0,"",INDEX('Risk Register'!$A$7:$A$206,MATCH("4|G|16",'Risk Register'!$R$7:$R$206,0)))</f>
        <v/>
      </c>
      <c r="T41" s="25" t="str">
        <f>IF(COUNTIF('Risk Register'!$R$7:$R$206,"4|G|17")=0,"",INDEX('Risk Register'!$A$7:$A$206,MATCH("4|G|17",'Risk Register'!$R$7:$R$206,0)))</f>
        <v/>
      </c>
      <c r="U41" s="25" t="str">
        <f>IF(COUNTIF('Risk Register'!$R$7:$R$206,"4|G|18")=0,"",INDEX('Risk Register'!$A$7:$A$206,MATCH("4|G|18",'Risk Register'!$R$7:$R$206,0)))</f>
        <v/>
      </c>
      <c r="V41" s="25" t="str">
        <f>IF(COUNTIF('Risk Register'!$R$7:$R$206,"4|G|19")=0,"",INDEX('Risk Register'!$A$7:$A$206,MATCH("4|G|19",'Risk Register'!$R$7:$R$206,0)))</f>
        <v/>
      </c>
      <c r="W41" s="26" t="str">
        <f>IF(COUNTIF('Risk Register'!$R$7:$R$206,"4|G|20")=0,"",INDEX('Risk Register'!$A$7:$A$206,MATCH("4|G|20",'Risk Register'!$R$7:$R$206,0)))</f>
        <v/>
      </c>
      <c r="X41" s="24" t="str">
        <f>IF(COUNTIF('Risk Register'!$R$7:$R$206,"5|G|16")=0,"",INDEX('Risk Register'!$A$7:$A$206,MATCH("5|G|16",'Risk Register'!$R$7:$R$206,0)))</f>
        <v/>
      </c>
      <c r="Y41" s="25" t="str">
        <f>IF(COUNTIF('Risk Register'!$R$7:$R$206,"5|G|17")=0,"",INDEX('Risk Register'!$A$7:$A$206,MATCH("5|G|17",'Risk Register'!$R$7:$R$206,0)))</f>
        <v/>
      </c>
      <c r="Z41" s="25" t="str">
        <f>IF(COUNTIF('Risk Register'!$R$7:$R$206,"5|G|18")=0,"",INDEX('Risk Register'!$A$7:$A$206,MATCH("5|G|18",'Risk Register'!$R$7:$R$206,0)))</f>
        <v/>
      </c>
      <c r="AA41" s="25" t="str">
        <f>IF(COUNTIF('Risk Register'!$R$7:$R$206,"5|G|19")=0,"",INDEX('Risk Register'!$A$7:$A$206,MATCH("5|G|19",'Risk Register'!$R$7:$R$206,0)))</f>
        <v/>
      </c>
      <c r="AB41" s="26" t="str">
        <f>IF(COUNTIF('Risk Register'!$R$7:$R$206,"5|G|20")=0,"",INDEX('Risk Register'!$A$7:$A$206,MATCH("5|G|20",'Risk Register'!$R$7:$R$206,0)))</f>
        <v/>
      </c>
      <c r="AC41" s="42" t="str">
        <f>IF(COUNTIF('Risk Register'!$R$7:$R$206,"6|G|16")=0,"",INDEX('Risk Register'!$A$7:$A$206,MATCH("6|G|16",'Risk Register'!$R$7:$R$206,0)))</f>
        <v/>
      </c>
      <c r="AD41" s="43" t="str">
        <f>IF(COUNTIF('Risk Register'!$R$7:$R$206,"6|G|17")=0,"",INDEX('Risk Register'!$A$7:$A$206,MATCH("6|G|17",'Risk Register'!$R$7:$R$206,0)))</f>
        <v/>
      </c>
      <c r="AE41" s="43" t="str">
        <f>IF(COUNTIF('Risk Register'!$R$7:$R$206,"6|G|18")=0,"",INDEX('Risk Register'!$A$7:$A$206,MATCH("6|G|18",'Risk Register'!$R$7:$R$206,0)))</f>
        <v/>
      </c>
      <c r="AF41" s="43" t="str">
        <f>IF(COUNTIF('Risk Register'!$R$7:$R$206,"6|G|19")=0,"",INDEX('Risk Register'!$A$7:$A$206,MATCH("6|G|19",'Risk Register'!$R$7:$R$206,0)))</f>
        <v/>
      </c>
      <c r="AG41" s="44" t="str">
        <f>IF(COUNTIF('Risk Register'!$R$7:$R$206,"6|G|20")=0,"",INDEX('Risk Register'!$A$7:$A$206,MATCH("6|G|20",'Risk Register'!$R$7:$R$206,0)))</f>
        <v/>
      </c>
      <c r="AH41" s="42" t="str">
        <f>IF(COUNTIF('Risk Register'!$R$7:$R$206,"7|G|16")=0,"",INDEX('Risk Register'!$A$7:$A$206,MATCH("7|G|16",'Risk Register'!$R$7:$R$206,0)))</f>
        <v/>
      </c>
      <c r="AI41" s="43" t="str">
        <f>IF(COUNTIF('Risk Register'!$R$7:$R$206,"7|G|17")=0,"",INDEX('Risk Register'!$A$7:$A$206,MATCH("7|G|17",'Risk Register'!$R$7:$R$206,0)))</f>
        <v/>
      </c>
      <c r="AJ41" s="43" t="str">
        <f>IF(COUNTIF('Risk Register'!$R$7:$R$206,"7|G|18")=0,"",INDEX('Risk Register'!$A$7:$A$206,MATCH("7|G|18",'Risk Register'!$R$7:$R$206,0)))</f>
        <v/>
      </c>
      <c r="AK41" s="43" t="str">
        <f>IF(COUNTIF('Risk Register'!$R$7:$R$206,"7|G|19")=0,"",INDEX('Risk Register'!$A$7:$A$206,MATCH("7|G|19",'Risk Register'!$R$7:$R$206,0)))</f>
        <v/>
      </c>
      <c r="AL41" s="44" t="str">
        <f>IF(COUNTIF('Risk Register'!$R$7:$R$206,"7|G|20")=0,"",INDEX('Risk Register'!$A$7:$A$206,MATCH("7|G|20",'Risk Register'!$R$7:$R$206,0)))</f>
        <v/>
      </c>
      <c r="AM41" s="42" t="str">
        <f>IF(COUNTIF('Risk Register'!$R$7:$R$206,"8|G|16")=0,"",INDEX('Risk Register'!$A$7:$A$206,MATCH("8|G|16",'Risk Register'!$R$7:$R$206,0)))</f>
        <v/>
      </c>
      <c r="AN41" s="43" t="str">
        <f>IF(COUNTIF('Risk Register'!$R$7:$R$206,"8|G|17")=0,"",INDEX('Risk Register'!$A$7:$A$206,MATCH("8|G|17",'Risk Register'!$R$7:$R$206,0)))</f>
        <v/>
      </c>
      <c r="AO41" s="43" t="str">
        <f>IF(COUNTIF('Risk Register'!$R$7:$R$206,"8|G|18")=0,"",INDEX('Risk Register'!$A$7:$A$206,MATCH("8|G|18",'Risk Register'!$R$7:$R$206,0)))</f>
        <v/>
      </c>
      <c r="AP41" s="43" t="str">
        <f>IF(COUNTIF('Risk Register'!$R$7:$R$206,"8|G|19")=0,"",INDEX('Risk Register'!$A$7:$A$206,MATCH("8|G|19",'Risk Register'!$R$7:$R$206,0)))</f>
        <v/>
      </c>
      <c r="AQ41" s="44" t="str">
        <f>IF(COUNTIF('Risk Register'!$R$7:$R$206,"8|G|20")=0,"",INDEX('Risk Register'!$A$7:$A$206,MATCH("8|G|20",'Risk Register'!$R$7:$R$206,0)))</f>
        <v/>
      </c>
      <c r="AS41" s="10">
        <f>IFERROR(INDEX('Risk Register'!$A$7:$A$206,34),"")</f>
        <v>34</v>
      </c>
      <c r="AT41" s="10">
        <f>IFERROR(INDEX('Risk Register'!$B$7:$B$206,34),"")</f>
        <v>0</v>
      </c>
    </row>
    <row r="42" spans="2:46" ht="18" customHeight="1">
      <c r="B42" s="56"/>
      <c r="C42" s="58"/>
      <c r="D42" s="27" t="str">
        <f>IF(COUNTIF('Risk Register'!$R$7:$R$206,"1|G|21")=0,"",INDEX('Risk Register'!$A$7:$A$206,MATCH("1|G|21",'Risk Register'!$R$7:$R$206,0)))</f>
        <v/>
      </c>
      <c r="E42" s="28" t="str">
        <f>IF(COUNTIF('Risk Register'!$R$7:$R$206,"1|G|22")=0,"",INDEX('Risk Register'!$A$7:$A$206,MATCH("1|G|22",'Risk Register'!$R$7:$R$206,0)))</f>
        <v/>
      </c>
      <c r="F42" s="28" t="str">
        <f>IF(COUNTIF('Risk Register'!$R$7:$R$206,"1|G|23")=0,"",INDEX('Risk Register'!$A$7:$A$206,MATCH("1|G|23",'Risk Register'!$R$7:$R$206,0)))</f>
        <v/>
      </c>
      <c r="G42" s="28" t="str">
        <f>IF(COUNTIF('Risk Register'!$R$7:$R$206,"1|G|24")=0,"",INDEX('Risk Register'!$A$7:$A$206,MATCH("1|G|24",'Risk Register'!$R$7:$R$206,0)))</f>
        <v/>
      </c>
      <c r="H42" s="29" t="str">
        <f>IF(COUNTIF('Risk Register'!$R$7:$R$206,"1|G|25")=0,"",INDEX('Risk Register'!$A$7:$A$206,MATCH("1|G|25",'Risk Register'!$R$7:$R$206,0)))</f>
        <v/>
      </c>
      <c r="I42" s="27" t="str">
        <f>IF(COUNTIF('Risk Register'!$R$7:$R$206,"2|G|21")=0,"",INDEX('Risk Register'!$A$7:$A$206,MATCH("2|G|21",'Risk Register'!$R$7:$R$206,0)))</f>
        <v/>
      </c>
      <c r="J42" s="28" t="str">
        <f>IF(COUNTIF('Risk Register'!$R$7:$R$206,"2|G|22")=0,"",INDEX('Risk Register'!$A$7:$A$206,MATCH("2|G|22",'Risk Register'!$R$7:$R$206,0)))</f>
        <v/>
      </c>
      <c r="K42" s="28" t="str">
        <f>IF(COUNTIF('Risk Register'!$R$7:$R$206,"2|G|23")=0,"",INDEX('Risk Register'!$A$7:$A$206,MATCH("2|G|23",'Risk Register'!$R$7:$R$206,0)))</f>
        <v/>
      </c>
      <c r="L42" s="28" t="str">
        <f>IF(COUNTIF('Risk Register'!$R$7:$R$206,"2|G|24")=0,"",INDEX('Risk Register'!$A$7:$A$206,MATCH("2|G|24",'Risk Register'!$R$7:$R$206,0)))</f>
        <v/>
      </c>
      <c r="M42" s="29" t="str">
        <f>IF(COUNTIF('Risk Register'!$R$7:$R$206,"2|G|25")=0,"",INDEX('Risk Register'!$A$7:$A$206,MATCH("2|G|25",'Risk Register'!$R$7:$R$206,0)))</f>
        <v/>
      </c>
      <c r="N42" s="27" t="str">
        <f>IF(COUNTIF('Risk Register'!$R$7:$R$206,"3|G|21")=0,"",INDEX('Risk Register'!$A$7:$A$206,MATCH("3|G|21",'Risk Register'!$R$7:$R$206,0)))</f>
        <v/>
      </c>
      <c r="O42" s="28" t="str">
        <f>IF(COUNTIF('Risk Register'!$R$7:$R$206,"3|G|22")=0,"",INDEX('Risk Register'!$A$7:$A$206,MATCH("3|G|22",'Risk Register'!$R$7:$R$206,0)))</f>
        <v/>
      </c>
      <c r="P42" s="28" t="str">
        <f>IF(COUNTIF('Risk Register'!$R$7:$R$206,"3|G|23")=0,"",INDEX('Risk Register'!$A$7:$A$206,MATCH("3|G|23",'Risk Register'!$R$7:$R$206,0)))</f>
        <v/>
      </c>
      <c r="Q42" s="28" t="str">
        <f>IF(COUNTIF('Risk Register'!$R$7:$R$206,"3|G|24")=0,"",INDEX('Risk Register'!$A$7:$A$206,MATCH("3|G|24",'Risk Register'!$R$7:$R$206,0)))</f>
        <v/>
      </c>
      <c r="R42" s="29" t="str">
        <f>IF(COUNTIF('Risk Register'!$R$7:$R$206,"3|G|25")=0,"",INDEX('Risk Register'!$A$7:$A$206,MATCH("3|G|25",'Risk Register'!$R$7:$R$206,0)))</f>
        <v/>
      </c>
      <c r="S42" s="27" t="str">
        <f>IF(COUNTIF('Risk Register'!$R$7:$R$206,"4|G|21")=0,"",INDEX('Risk Register'!$A$7:$A$206,MATCH("4|G|21",'Risk Register'!$R$7:$R$206,0)))</f>
        <v/>
      </c>
      <c r="T42" s="28" t="str">
        <f>IF(COUNTIF('Risk Register'!$R$7:$R$206,"4|G|22")=0,"",INDEX('Risk Register'!$A$7:$A$206,MATCH("4|G|22",'Risk Register'!$R$7:$R$206,0)))</f>
        <v/>
      </c>
      <c r="U42" s="28" t="str">
        <f>IF(COUNTIF('Risk Register'!$R$7:$R$206,"4|G|23")=0,"",INDEX('Risk Register'!$A$7:$A$206,MATCH("4|G|23",'Risk Register'!$R$7:$R$206,0)))</f>
        <v/>
      </c>
      <c r="V42" s="28" t="str">
        <f>IF(COUNTIF('Risk Register'!$R$7:$R$206,"4|G|24")=0,"",INDEX('Risk Register'!$A$7:$A$206,MATCH("4|G|24",'Risk Register'!$R$7:$R$206,0)))</f>
        <v/>
      </c>
      <c r="W42" s="29" t="str">
        <f>IF(COUNTIF('Risk Register'!$R$7:$R$206,"4|G|25")=0,"",INDEX('Risk Register'!$A$7:$A$206,MATCH("4|G|25",'Risk Register'!$R$7:$R$206,0)))</f>
        <v/>
      </c>
      <c r="X42" s="27" t="str">
        <f>IF(COUNTIF('Risk Register'!$R$7:$R$206,"5|G|21")=0,"",INDEX('Risk Register'!$A$7:$A$206,MATCH("5|G|21",'Risk Register'!$R$7:$R$206,0)))</f>
        <v/>
      </c>
      <c r="Y42" s="28" t="str">
        <f>IF(COUNTIF('Risk Register'!$R$7:$R$206,"5|G|22")=0,"",INDEX('Risk Register'!$A$7:$A$206,MATCH("5|G|22",'Risk Register'!$R$7:$R$206,0)))</f>
        <v/>
      </c>
      <c r="Z42" s="28" t="str">
        <f>IF(COUNTIF('Risk Register'!$R$7:$R$206,"5|G|23")=0,"",INDEX('Risk Register'!$A$7:$A$206,MATCH("5|G|23",'Risk Register'!$R$7:$R$206,0)))</f>
        <v/>
      </c>
      <c r="AA42" s="28" t="str">
        <f>IF(COUNTIF('Risk Register'!$R$7:$R$206,"5|G|24")=0,"",INDEX('Risk Register'!$A$7:$A$206,MATCH("5|G|24",'Risk Register'!$R$7:$R$206,0)))</f>
        <v/>
      </c>
      <c r="AB42" s="29" t="str">
        <f>IF(COUNTIF('Risk Register'!$R$7:$R$206,"5|G|25")=0,"",INDEX('Risk Register'!$A$7:$A$206,MATCH("5|G|25",'Risk Register'!$R$7:$R$206,0)))</f>
        <v/>
      </c>
      <c r="AC42" s="45" t="str">
        <f>IF(COUNTIF('Risk Register'!$R$7:$R$206,"6|G|21")=0,"",INDEX('Risk Register'!$A$7:$A$206,MATCH("6|G|21",'Risk Register'!$R$7:$R$206,0)))</f>
        <v/>
      </c>
      <c r="AD42" s="46" t="str">
        <f>IF(COUNTIF('Risk Register'!$R$7:$R$206,"6|G|22")=0,"",INDEX('Risk Register'!$A$7:$A$206,MATCH("6|G|22",'Risk Register'!$R$7:$R$206,0)))</f>
        <v/>
      </c>
      <c r="AE42" s="46" t="str">
        <f>IF(COUNTIF('Risk Register'!$R$7:$R$206,"6|G|23")=0,"",INDEX('Risk Register'!$A$7:$A$206,MATCH("6|G|23",'Risk Register'!$R$7:$R$206,0)))</f>
        <v/>
      </c>
      <c r="AF42" s="46" t="str">
        <f>IF(COUNTIF('Risk Register'!$R$7:$R$206,"6|G|24")=0,"",INDEX('Risk Register'!$A$7:$A$206,MATCH("6|G|24",'Risk Register'!$R$7:$R$206,0)))</f>
        <v/>
      </c>
      <c r="AG42" s="47" t="str">
        <f>IF(COUNTIF('Risk Register'!$R$7:$R$206,"6|G|25")=0,"",INDEX('Risk Register'!$A$7:$A$206,MATCH("6|G|25",'Risk Register'!$R$7:$R$206,0)))</f>
        <v/>
      </c>
      <c r="AH42" s="45" t="str">
        <f>IF(COUNTIF('Risk Register'!$R$7:$R$206,"7|G|21")=0,"",INDEX('Risk Register'!$A$7:$A$206,MATCH("7|G|21",'Risk Register'!$R$7:$R$206,0)))</f>
        <v/>
      </c>
      <c r="AI42" s="46" t="str">
        <f>IF(COUNTIF('Risk Register'!$R$7:$R$206,"7|G|22")=0,"",INDEX('Risk Register'!$A$7:$A$206,MATCH("7|G|22",'Risk Register'!$R$7:$R$206,0)))</f>
        <v/>
      </c>
      <c r="AJ42" s="46" t="str">
        <f>IF(COUNTIF('Risk Register'!$R$7:$R$206,"7|G|23")=0,"",INDEX('Risk Register'!$A$7:$A$206,MATCH("7|G|23",'Risk Register'!$R$7:$R$206,0)))</f>
        <v/>
      </c>
      <c r="AK42" s="46" t="str">
        <f>IF(COUNTIF('Risk Register'!$R$7:$R$206,"7|G|24")=0,"",INDEX('Risk Register'!$A$7:$A$206,MATCH("7|G|24",'Risk Register'!$R$7:$R$206,0)))</f>
        <v/>
      </c>
      <c r="AL42" s="47" t="str">
        <f>IF(COUNTIF('Risk Register'!$R$7:$R$206,"7|G|25")=0,"",INDEX('Risk Register'!$A$7:$A$206,MATCH("7|G|25",'Risk Register'!$R$7:$R$206,0)))</f>
        <v/>
      </c>
      <c r="AM42" s="45" t="str">
        <f>IF(COUNTIF('Risk Register'!$R$7:$R$206,"8|G|21")=0,"",INDEX('Risk Register'!$A$7:$A$206,MATCH("8|G|21",'Risk Register'!$R$7:$R$206,0)))</f>
        <v/>
      </c>
      <c r="AN42" s="46" t="str">
        <f>IF(COUNTIF('Risk Register'!$R$7:$R$206,"8|G|22")=0,"",INDEX('Risk Register'!$A$7:$A$206,MATCH("8|G|22",'Risk Register'!$R$7:$R$206,0)))</f>
        <v/>
      </c>
      <c r="AO42" s="46" t="str">
        <f>IF(COUNTIF('Risk Register'!$R$7:$R$206,"8|G|23")=0,"",INDEX('Risk Register'!$A$7:$A$206,MATCH("8|G|23",'Risk Register'!$R$7:$R$206,0)))</f>
        <v/>
      </c>
      <c r="AP42" s="46" t="str">
        <f>IF(COUNTIF('Risk Register'!$R$7:$R$206,"8|G|24")=0,"",INDEX('Risk Register'!$A$7:$A$206,MATCH("8|G|24",'Risk Register'!$R$7:$R$206,0)))</f>
        <v/>
      </c>
      <c r="AQ42" s="47" t="str">
        <f>IF(COUNTIF('Risk Register'!$R$7:$R$206,"8|G|25")=0,"",INDEX('Risk Register'!$A$7:$A$206,MATCH("8|G|25",'Risk Register'!$R$7:$R$206,0)))</f>
        <v/>
      </c>
      <c r="AS42" s="10">
        <f>IFERROR(INDEX('Risk Register'!$A$7:$A$206,35),"")</f>
        <v>35</v>
      </c>
      <c r="AT42" s="10">
        <f>IFERROR(INDEX('Risk Register'!$B$7:$B$206,35),"")</f>
        <v>0</v>
      </c>
    </row>
    <row r="43" spans="2:46" ht="18" customHeight="1">
      <c r="B43" s="56"/>
      <c r="C43" s="58" t="s">
        <v>24</v>
      </c>
      <c r="D43" s="21">
        <f>IF(COUNTIF('Risk Register'!$R$7:$R$206,"1|H|1")=0,"",INDEX('Risk Register'!$A$7:$A$206,MATCH("1|H|1",'Risk Register'!$R$7:$R$206,0)))</f>
        <v>25</v>
      </c>
      <c r="E43" s="22" t="str">
        <f>IF(COUNTIF('Risk Register'!$R$7:$R$206,"1|H|2")=0,"",INDEX('Risk Register'!$A$7:$A$206,MATCH("1|H|2",'Risk Register'!$R$7:$R$206,0)))</f>
        <v/>
      </c>
      <c r="F43" s="22" t="str">
        <f>IF(COUNTIF('Risk Register'!$R$7:$R$206,"1|H|3")=0,"",INDEX('Risk Register'!$A$7:$A$206,MATCH("1|H|3",'Risk Register'!$R$7:$R$206,0)))</f>
        <v/>
      </c>
      <c r="G43" s="22" t="str">
        <f>IF(COUNTIF('Risk Register'!$R$7:$R$206,"1|H|4")=0,"",INDEX('Risk Register'!$A$7:$A$206,MATCH("1|H|4",'Risk Register'!$R$7:$R$206,0)))</f>
        <v/>
      </c>
      <c r="H43" s="23" t="str">
        <f>IF(COUNTIF('Risk Register'!$R$7:$R$206,"1|H|5")=0,"",INDEX('Risk Register'!$A$7:$A$206,MATCH("1|H|5",'Risk Register'!$R$7:$R$206,0)))</f>
        <v/>
      </c>
      <c r="I43" s="21">
        <f>IF(COUNTIF('Risk Register'!$R$7:$R$206,"2|H|1")=0,"",INDEX('Risk Register'!$A$7:$A$206,MATCH("2|H|1",'Risk Register'!$R$7:$R$206,0)))</f>
        <v>20</v>
      </c>
      <c r="J43" s="22" t="str">
        <f>IF(COUNTIF('Risk Register'!$R$7:$R$206,"2|H|2")=0,"",INDEX('Risk Register'!$A$7:$A$206,MATCH("2|H|2",'Risk Register'!$R$7:$R$206,0)))</f>
        <v/>
      </c>
      <c r="K43" s="22" t="str">
        <f>IF(COUNTIF('Risk Register'!$R$7:$R$206,"2|H|3")=0,"",INDEX('Risk Register'!$A$7:$A$206,MATCH("2|H|3",'Risk Register'!$R$7:$R$206,0)))</f>
        <v/>
      </c>
      <c r="L43" s="22" t="str">
        <f>IF(COUNTIF('Risk Register'!$R$7:$R$206,"2|H|4")=0,"",INDEX('Risk Register'!$A$7:$A$206,MATCH("2|H|4",'Risk Register'!$R$7:$R$206,0)))</f>
        <v/>
      </c>
      <c r="M43" s="23" t="str">
        <f>IF(COUNTIF('Risk Register'!$R$7:$R$206,"2|H|5")=0,"",INDEX('Risk Register'!$A$7:$A$206,MATCH("2|H|5",'Risk Register'!$R$7:$R$206,0)))</f>
        <v/>
      </c>
      <c r="N43" s="21" t="str">
        <f>IF(COUNTIF('Risk Register'!$R$7:$R$206,"3|H|1")=0,"",INDEX('Risk Register'!$A$7:$A$206,MATCH("3|H|1",'Risk Register'!$R$7:$R$206,0)))</f>
        <v/>
      </c>
      <c r="O43" s="22" t="str">
        <f>IF(COUNTIF('Risk Register'!$R$7:$R$206,"3|H|2")=0,"",INDEX('Risk Register'!$A$7:$A$206,MATCH("3|H|2",'Risk Register'!$R$7:$R$206,0)))</f>
        <v/>
      </c>
      <c r="P43" s="22" t="str">
        <f>IF(COUNTIF('Risk Register'!$R$7:$R$206,"3|H|3")=0,"",INDEX('Risk Register'!$A$7:$A$206,MATCH("3|H|3",'Risk Register'!$R$7:$R$206,0)))</f>
        <v/>
      </c>
      <c r="Q43" s="22" t="str">
        <f>IF(COUNTIF('Risk Register'!$R$7:$R$206,"3|H|4")=0,"",INDEX('Risk Register'!$A$7:$A$206,MATCH("3|H|4",'Risk Register'!$R$7:$R$206,0)))</f>
        <v/>
      </c>
      <c r="R43" s="23" t="str">
        <f>IF(COUNTIF('Risk Register'!$R$7:$R$206,"3|H|5")=0,"",INDEX('Risk Register'!$A$7:$A$206,MATCH("3|H|5",'Risk Register'!$R$7:$R$206,0)))</f>
        <v/>
      </c>
      <c r="S43" s="21" t="str">
        <f>IF(COUNTIF('Risk Register'!$R$7:$R$206,"4|H|1")=0,"",INDEX('Risk Register'!$A$7:$A$206,MATCH("4|H|1",'Risk Register'!$R$7:$R$206,0)))</f>
        <v/>
      </c>
      <c r="T43" s="22" t="str">
        <f>IF(COUNTIF('Risk Register'!$R$7:$R$206,"4|H|2")=0,"",INDEX('Risk Register'!$A$7:$A$206,MATCH("4|H|2",'Risk Register'!$R$7:$R$206,0)))</f>
        <v/>
      </c>
      <c r="U43" s="22" t="str">
        <f>IF(COUNTIF('Risk Register'!$R$7:$R$206,"4|H|3")=0,"",INDEX('Risk Register'!$A$7:$A$206,MATCH("4|H|3",'Risk Register'!$R$7:$R$206,0)))</f>
        <v/>
      </c>
      <c r="V43" s="22" t="str">
        <f>IF(COUNTIF('Risk Register'!$R$7:$R$206,"4|H|4")=0,"",INDEX('Risk Register'!$A$7:$A$206,MATCH("4|H|4",'Risk Register'!$R$7:$R$206,0)))</f>
        <v/>
      </c>
      <c r="W43" s="23" t="str">
        <f>IF(COUNTIF('Risk Register'!$R$7:$R$206,"4|H|5")=0,"",INDEX('Risk Register'!$A$7:$A$206,MATCH("4|H|5",'Risk Register'!$R$7:$R$206,0)))</f>
        <v/>
      </c>
      <c r="X43" s="21" t="str">
        <f>IF(COUNTIF('Risk Register'!$R$7:$R$206,"5|H|1")=0,"",INDEX('Risk Register'!$A$7:$A$206,MATCH("5|H|1",'Risk Register'!$R$7:$R$206,0)))</f>
        <v/>
      </c>
      <c r="Y43" s="22" t="str">
        <f>IF(COUNTIF('Risk Register'!$R$7:$R$206,"5|H|2")=0,"",INDEX('Risk Register'!$A$7:$A$206,MATCH("5|H|2",'Risk Register'!$R$7:$R$206,0)))</f>
        <v/>
      </c>
      <c r="Z43" s="22" t="str">
        <f>IF(COUNTIF('Risk Register'!$R$7:$R$206,"5|H|3")=0,"",INDEX('Risk Register'!$A$7:$A$206,MATCH("5|H|3",'Risk Register'!$R$7:$R$206,0)))</f>
        <v/>
      </c>
      <c r="AA43" s="22" t="str">
        <f>IF(COUNTIF('Risk Register'!$R$7:$R$206,"5|H|4")=0,"",INDEX('Risk Register'!$A$7:$A$206,MATCH("5|H|4",'Risk Register'!$R$7:$R$206,0)))</f>
        <v/>
      </c>
      <c r="AB43" s="23" t="str">
        <f>IF(COUNTIF('Risk Register'!$R$7:$R$206,"5|H|5")=0,"",INDEX('Risk Register'!$A$7:$A$206,MATCH("5|H|5",'Risk Register'!$R$7:$R$206,0)))</f>
        <v/>
      </c>
      <c r="AC43" s="21" t="str">
        <f>IF(COUNTIF('Risk Register'!$R$7:$R$206,"6|H|1")=0,"",INDEX('Risk Register'!$A$7:$A$206,MATCH("6|H|1",'Risk Register'!$R$7:$R$206,0)))</f>
        <v/>
      </c>
      <c r="AD43" s="22" t="str">
        <f>IF(COUNTIF('Risk Register'!$R$7:$R$206,"6|H|2")=0,"",INDEX('Risk Register'!$A$7:$A$206,MATCH("6|H|2",'Risk Register'!$R$7:$R$206,0)))</f>
        <v/>
      </c>
      <c r="AE43" s="22" t="str">
        <f>IF(COUNTIF('Risk Register'!$R$7:$R$206,"6|H|3")=0,"",INDEX('Risk Register'!$A$7:$A$206,MATCH("6|H|3",'Risk Register'!$R$7:$R$206,0)))</f>
        <v/>
      </c>
      <c r="AF43" s="22" t="str">
        <f>IF(COUNTIF('Risk Register'!$R$7:$R$206,"6|H|4")=0,"",INDEX('Risk Register'!$A$7:$A$206,MATCH("6|H|4",'Risk Register'!$R$7:$R$206,0)))</f>
        <v/>
      </c>
      <c r="AG43" s="23" t="str">
        <f>IF(COUNTIF('Risk Register'!$R$7:$R$206,"6|H|5")=0,"",INDEX('Risk Register'!$A$7:$A$206,MATCH("6|H|5",'Risk Register'!$R$7:$R$206,0)))</f>
        <v/>
      </c>
      <c r="AH43" s="39" t="str">
        <f>IF(COUNTIF('Risk Register'!$R$7:$R$206,"7|H|1")=0,"",INDEX('Risk Register'!$A$7:$A$206,MATCH("7|H|1",'Risk Register'!$R$7:$R$206,0)))</f>
        <v/>
      </c>
      <c r="AI43" s="40" t="str">
        <f>IF(COUNTIF('Risk Register'!$R$7:$R$206,"7|H|2")=0,"",INDEX('Risk Register'!$A$7:$A$206,MATCH("7|H|2",'Risk Register'!$R$7:$R$206,0)))</f>
        <v/>
      </c>
      <c r="AJ43" s="40" t="str">
        <f>IF(COUNTIF('Risk Register'!$R$7:$R$206,"7|H|3")=0,"",INDEX('Risk Register'!$A$7:$A$206,MATCH("7|H|3",'Risk Register'!$R$7:$R$206,0)))</f>
        <v/>
      </c>
      <c r="AK43" s="40" t="str">
        <f>IF(COUNTIF('Risk Register'!$R$7:$R$206,"7|H|4")=0,"",INDEX('Risk Register'!$A$7:$A$206,MATCH("7|H|4",'Risk Register'!$R$7:$R$206,0)))</f>
        <v/>
      </c>
      <c r="AL43" s="41" t="str">
        <f>IF(COUNTIF('Risk Register'!$R$7:$R$206,"7|H|5")=0,"",INDEX('Risk Register'!$A$7:$A$206,MATCH("7|H|5",'Risk Register'!$R$7:$R$206,0)))</f>
        <v/>
      </c>
      <c r="AM43" s="39" t="str">
        <f>IF(COUNTIF('Risk Register'!$R$7:$R$206,"8|H|1")=0,"",INDEX('Risk Register'!$A$7:$A$206,MATCH("8|H|1",'Risk Register'!$R$7:$R$206,0)))</f>
        <v/>
      </c>
      <c r="AN43" s="40" t="str">
        <f>IF(COUNTIF('Risk Register'!$R$7:$R$206,"8|H|2")=0,"",INDEX('Risk Register'!$A$7:$A$206,MATCH("8|H|2",'Risk Register'!$R$7:$R$206,0)))</f>
        <v/>
      </c>
      <c r="AO43" s="40" t="str">
        <f>IF(COUNTIF('Risk Register'!$R$7:$R$206,"8|H|3")=0,"",INDEX('Risk Register'!$A$7:$A$206,MATCH("8|H|3",'Risk Register'!$R$7:$R$206,0)))</f>
        <v/>
      </c>
      <c r="AP43" s="40" t="str">
        <f>IF(COUNTIF('Risk Register'!$R$7:$R$206,"8|H|4")=0,"",INDEX('Risk Register'!$A$7:$A$206,MATCH("8|H|4",'Risk Register'!$R$7:$R$206,0)))</f>
        <v/>
      </c>
      <c r="AQ43" s="41" t="str">
        <f>IF(COUNTIF('Risk Register'!$R$7:$R$206,"8|H|5")=0,"",INDEX('Risk Register'!$A$7:$A$206,MATCH("8|H|5",'Risk Register'!$R$7:$R$206,0)))</f>
        <v/>
      </c>
      <c r="AS43" s="10">
        <f>IFERROR(INDEX('Risk Register'!$A$7:$A$206,36),"")</f>
        <v>36</v>
      </c>
      <c r="AT43" s="10">
        <f>IFERROR(INDEX('Risk Register'!$B$7:$B$206,36),"")</f>
        <v>0</v>
      </c>
    </row>
    <row r="44" spans="2:46" ht="18" customHeight="1">
      <c r="B44" s="56"/>
      <c r="C44" s="58"/>
      <c r="D44" s="24" t="str">
        <f>IF(COUNTIF('Risk Register'!$R$7:$R$206,"1|H|6")=0,"",INDEX('Risk Register'!$A$7:$A$206,MATCH("1|H|6",'Risk Register'!$R$7:$R$206,0)))</f>
        <v/>
      </c>
      <c r="E44" s="25" t="str">
        <f>IF(COUNTIF('Risk Register'!$R$7:$R$206,"1|H|7")=0,"",INDEX('Risk Register'!$A$7:$A$206,MATCH("1|H|7",'Risk Register'!$R$7:$R$206,0)))</f>
        <v/>
      </c>
      <c r="F44" s="25" t="str">
        <f>IF(COUNTIF('Risk Register'!$R$7:$R$206,"1|H|8")=0,"",INDEX('Risk Register'!$A$7:$A$206,MATCH("1|H|8",'Risk Register'!$R$7:$R$206,0)))</f>
        <v/>
      </c>
      <c r="G44" s="25" t="str">
        <f>IF(COUNTIF('Risk Register'!$R$7:$R$206,"1|H|9")=0,"",INDEX('Risk Register'!$A$7:$A$206,MATCH("1|H|9",'Risk Register'!$R$7:$R$206,0)))</f>
        <v/>
      </c>
      <c r="H44" s="26" t="str">
        <f>IF(COUNTIF('Risk Register'!$R$7:$R$206,"1|H|10")=0,"",INDEX('Risk Register'!$A$7:$A$206,MATCH("1|H|10",'Risk Register'!$R$7:$R$206,0)))</f>
        <v/>
      </c>
      <c r="I44" s="24" t="str">
        <f>IF(COUNTIF('Risk Register'!$R$7:$R$206,"2|H|6")=0,"",INDEX('Risk Register'!$A$7:$A$206,MATCH("2|H|6",'Risk Register'!$R$7:$R$206,0)))</f>
        <v/>
      </c>
      <c r="J44" s="25" t="str">
        <f>IF(COUNTIF('Risk Register'!$R$7:$R$206,"2|H|7")=0,"",INDEX('Risk Register'!$A$7:$A$206,MATCH("2|H|7",'Risk Register'!$R$7:$R$206,0)))</f>
        <v/>
      </c>
      <c r="K44" s="25" t="str">
        <f>IF(COUNTIF('Risk Register'!$R$7:$R$206,"2|H|8")=0,"",INDEX('Risk Register'!$A$7:$A$206,MATCH("2|H|8",'Risk Register'!$R$7:$R$206,0)))</f>
        <v/>
      </c>
      <c r="L44" s="25" t="str">
        <f>IF(COUNTIF('Risk Register'!$R$7:$R$206,"2|H|9")=0,"",INDEX('Risk Register'!$A$7:$A$206,MATCH("2|H|9",'Risk Register'!$R$7:$R$206,0)))</f>
        <v/>
      </c>
      <c r="M44" s="26" t="str">
        <f>IF(COUNTIF('Risk Register'!$R$7:$R$206,"2|H|10")=0,"",INDEX('Risk Register'!$A$7:$A$206,MATCH("2|H|10",'Risk Register'!$R$7:$R$206,0)))</f>
        <v/>
      </c>
      <c r="N44" s="24" t="str">
        <f>IF(COUNTIF('Risk Register'!$R$7:$R$206,"3|H|6")=0,"",INDEX('Risk Register'!$A$7:$A$206,MATCH("3|H|6",'Risk Register'!$R$7:$R$206,0)))</f>
        <v/>
      </c>
      <c r="O44" s="25" t="str">
        <f>IF(COUNTIF('Risk Register'!$R$7:$R$206,"3|H|7")=0,"",INDEX('Risk Register'!$A$7:$A$206,MATCH("3|H|7",'Risk Register'!$R$7:$R$206,0)))</f>
        <v/>
      </c>
      <c r="P44" s="25" t="str">
        <f>IF(COUNTIF('Risk Register'!$R$7:$R$206,"3|H|8")=0,"",INDEX('Risk Register'!$A$7:$A$206,MATCH("3|H|8",'Risk Register'!$R$7:$R$206,0)))</f>
        <v/>
      </c>
      <c r="Q44" s="25" t="str">
        <f>IF(COUNTIF('Risk Register'!$R$7:$R$206,"3|H|9")=0,"",INDEX('Risk Register'!$A$7:$A$206,MATCH("3|H|9",'Risk Register'!$R$7:$R$206,0)))</f>
        <v/>
      </c>
      <c r="R44" s="26" t="str">
        <f>IF(COUNTIF('Risk Register'!$R$7:$R$206,"3|H|10")=0,"",INDEX('Risk Register'!$A$7:$A$206,MATCH("3|H|10",'Risk Register'!$R$7:$R$206,0)))</f>
        <v/>
      </c>
      <c r="S44" s="24" t="str">
        <f>IF(COUNTIF('Risk Register'!$R$7:$R$206,"4|H|6")=0,"",INDEX('Risk Register'!$A$7:$A$206,MATCH("4|H|6",'Risk Register'!$R$7:$R$206,0)))</f>
        <v/>
      </c>
      <c r="T44" s="25" t="str">
        <f>IF(COUNTIF('Risk Register'!$R$7:$R$206,"4|H|7")=0,"",INDEX('Risk Register'!$A$7:$A$206,MATCH("4|H|7",'Risk Register'!$R$7:$R$206,0)))</f>
        <v/>
      </c>
      <c r="U44" s="25" t="str">
        <f>IF(COUNTIF('Risk Register'!$R$7:$R$206,"4|H|8")=0,"",INDEX('Risk Register'!$A$7:$A$206,MATCH("4|H|8",'Risk Register'!$R$7:$R$206,0)))</f>
        <v/>
      </c>
      <c r="V44" s="25" t="str">
        <f>IF(COUNTIF('Risk Register'!$R$7:$R$206,"4|H|9")=0,"",INDEX('Risk Register'!$A$7:$A$206,MATCH("4|H|9",'Risk Register'!$R$7:$R$206,0)))</f>
        <v/>
      </c>
      <c r="W44" s="26" t="str">
        <f>IF(COUNTIF('Risk Register'!$R$7:$R$206,"4|H|10")=0,"",INDEX('Risk Register'!$A$7:$A$206,MATCH("4|H|10",'Risk Register'!$R$7:$R$206,0)))</f>
        <v/>
      </c>
      <c r="X44" s="24" t="str">
        <f>IF(COUNTIF('Risk Register'!$R$7:$R$206,"5|H|6")=0,"",INDEX('Risk Register'!$A$7:$A$206,MATCH("5|H|6",'Risk Register'!$R$7:$R$206,0)))</f>
        <v/>
      </c>
      <c r="Y44" s="25" t="str">
        <f>IF(COUNTIF('Risk Register'!$R$7:$R$206,"5|H|7")=0,"",INDEX('Risk Register'!$A$7:$A$206,MATCH("5|H|7",'Risk Register'!$R$7:$R$206,0)))</f>
        <v/>
      </c>
      <c r="Z44" s="25" t="str">
        <f>IF(COUNTIF('Risk Register'!$R$7:$R$206,"5|H|8")=0,"",INDEX('Risk Register'!$A$7:$A$206,MATCH("5|H|8",'Risk Register'!$R$7:$R$206,0)))</f>
        <v/>
      </c>
      <c r="AA44" s="25" t="str">
        <f>IF(COUNTIF('Risk Register'!$R$7:$R$206,"5|H|9")=0,"",INDEX('Risk Register'!$A$7:$A$206,MATCH("5|H|9",'Risk Register'!$R$7:$R$206,0)))</f>
        <v/>
      </c>
      <c r="AB44" s="26" t="str">
        <f>IF(COUNTIF('Risk Register'!$R$7:$R$206,"5|H|10")=0,"",INDEX('Risk Register'!$A$7:$A$206,MATCH("5|H|10",'Risk Register'!$R$7:$R$206,0)))</f>
        <v/>
      </c>
      <c r="AC44" s="24" t="str">
        <f>IF(COUNTIF('Risk Register'!$R$7:$R$206,"6|H|6")=0,"",INDEX('Risk Register'!$A$7:$A$206,MATCH("6|H|6",'Risk Register'!$R$7:$R$206,0)))</f>
        <v/>
      </c>
      <c r="AD44" s="25" t="str">
        <f>IF(COUNTIF('Risk Register'!$R$7:$R$206,"6|H|7")=0,"",INDEX('Risk Register'!$A$7:$A$206,MATCH("6|H|7",'Risk Register'!$R$7:$R$206,0)))</f>
        <v/>
      </c>
      <c r="AE44" s="25" t="str">
        <f>IF(COUNTIF('Risk Register'!$R$7:$R$206,"6|H|8")=0,"",INDEX('Risk Register'!$A$7:$A$206,MATCH("6|H|8",'Risk Register'!$R$7:$R$206,0)))</f>
        <v/>
      </c>
      <c r="AF44" s="25" t="str">
        <f>IF(COUNTIF('Risk Register'!$R$7:$R$206,"6|H|9")=0,"",INDEX('Risk Register'!$A$7:$A$206,MATCH("6|H|9",'Risk Register'!$R$7:$R$206,0)))</f>
        <v/>
      </c>
      <c r="AG44" s="26" t="str">
        <f>IF(COUNTIF('Risk Register'!$R$7:$R$206,"6|H|10")=0,"",INDEX('Risk Register'!$A$7:$A$206,MATCH("6|H|10",'Risk Register'!$R$7:$R$206,0)))</f>
        <v/>
      </c>
      <c r="AH44" s="42" t="str">
        <f>IF(COUNTIF('Risk Register'!$R$7:$R$206,"7|H|6")=0,"",INDEX('Risk Register'!$A$7:$A$206,MATCH("7|H|6",'Risk Register'!$R$7:$R$206,0)))</f>
        <v/>
      </c>
      <c r="AI44" s="43" t="str">
        <f>IF(COUNTIF('Risk Register'!$R$7:$R$206,"7|H|7")=0,"",INDEX('Risk Register'!$A$7:$A$206,MATCH("7|H|7",'Risk Register'!$R$7:$R$206,0)))</f>
        <v/>
      </c>
      <c r="AJ44" s="43" t="str">
        <f>IF(COUNTIF('Risk Register'!$R$7:$R$206,"7|H|8")=0,"",INDEX('Risk Register'!$A$7:$A$206,MATCH("7|H|8",'Risk Register'!$R$7:$R$206,0)))</f>
        <v/>
      </c>
      <c r="AK44" s="43" t="str">
        <f>IF(COUNTIF('Risk Register'!$R$7:$R$206,"7|H|9")=0,"",INDEX('Risk Register'!$A$7:$A$206,MATCH("7|H|9",'Risk Register'!$R$7:$R$206,0)))</f>
        <v/>
      </c>
      <c r="AL44" s="44" t="str">
        <f>IF(COUNTIF('Risk Register'!$R$7:$R$206,"7|H|10")=0,"",INDEX('Risk Register'!$A$7:$A$206,MATCH("7|H|10",'Risk Register'!$R$7:$R$206,0)))</f>
        <v/>
      </c>
      <c r="AM44" s="42" t="str">
        <f>IF(COUNTIF('Risk Register'!$R$7:$R$206,"8|H|6")=0,"",INDEX('Risk Register'!$A$7:$A$206,MATCH("8|H|6",'Risk Register'!$R$7:$R$206,0)))</f>
        <v/>
      </c>
      <c r="AN44" s="43" t="str">
        <f>IF(COUNTIF('Risk Register'!$R$7:$R$206,"8|H|7")=0,"",INDEX('Risk Register'!$A$7:$A$206,MATCH("8|H|7",'Risk Register'!$R$7:$R$206,0)))</f>
        <v/>
      </c>
      <c r="AO44" s="43" t="str">
        <f>IF(COUNTIF('Risk Register'!$R$7:$R$206,"8|H|8")=0,"",INDEX('Risk Register'!$A$7:$A$206,MATCH("8|H|8",'Risk Register'!$R$7:$R$206,0)))</f>
        <v/>
      </c>
      <c r="AP44" s="43" t="str">
        <f>IF(COUNTIF('Risk Register'!$R$7:$R$206,"8|H|9")=0,"",INDEX('Risk Register'!$A$7:$A$206,MATCH("8|H|9",'Risk Register'!$R$7:$R$206,0)))</f>
        <v/>
      </c>
      <c r="AQ44" s="44" t="str">
        <f>IF(COUNTIF('Risk Register'!$R$7:$R$206,"8|H|10")=0,"",INDEX('Risk Register'!$A$7:$A$206,MATCH("8|H|10",'Risk Register'!$R$7:$R$206,0)))</f>
        <v/>
      </c>
      <c r="AS44" s="10">
        <f>IFERROR(INDEX('Risk Register'!$A$7:$A$206,37),"")</f>
        <v>37</v>
      </c>
      <c r="AT44" s="10">
        <f>IFERROR(INDEX('Risk Register'!$B$7:$B$206,37),"")</f>
        <v>0</v>
      </c>
    </row>
    <row r="45" spans="2:46" ht="18" customHeight="1">
      <c r="B45" s="56"/>
      <c r="C45" s="58"/>
      <c r="D45" s="24" t="str">
        <f>IF(COUNTIF('Risk Register'!$R$7:$R$206,"1|H|11")=0,"",INDEX('Risk Register'!$A$7:$A$206,MATCH("1|H|11",'Risk Register'!$R$7:$R$206,0)))</f>
        <v/>
      </c>
      <c r="E45" s="25" t="str">
        <f>IF(COUNTIF('Risk Register'!$R$7:$R$206,"1|H|12")=0,"",INDEX('Risk Register'!$A$7:$A$206,MATCH("1|H|12",'Risk Register'!$R$7:$R$206,0)))</f>
        <v/>
      </c>
      <c r="F45" s="25" t="str">
        <f>IF(COUNTIF('Risk Register'!$R$7:$R$206,"1|H|13")=0,"",INDEX('Risk Register'!$A$7:$A$206,MATCH("1|H|13",'Risk Register'!$R$7:$R$206,0)))</f>
        <v/>
      </c>
      <c r="G45" s="25" t="str">
        <f>IF(COUNTIF('Risk Register'!$R$7:$R$206,"1|H|14")=0,"",INDEX('Risk Register'!$A$7:$A$206,MATCH("1|H|14",'Risk Register'!$R$7:$R$206,0)))</f>
        <v/>
      </c>
      <c r="H45" s="26" t="str">
        <f>IF(COUNTIF('Risk Register'!$R$7:$R$206,"1|H|15")=0,"",INDEX('Risk Register'!$A$7:$A$206,MATCH("1|H|15",'Risk Register'!$R$7:$R$206,0)))</f>
        <v/>
      </c>
      <c r="I45" s="24" t="str">
        <f>IF(COUNTIF('Risk Register'!$R$7:$R$206,"2|H|11")=0,"",INDEX('Risk Register'!$A$7:$A$206,MATCH("2|H|11",'Risk Register'!$R$7:$R$206,0)))</f>
        <v/>
      </c>
      <c r="J45" s="25" t="str">
        <f>IF(COUNTIF('Risk Register'!$R$7:$R$206,"2|H|12")=0,"",INDEX('Risk Register'!$A$7:$A$206,MATCH("2|H|12",'Risk Register'!$R$7:$R$206,0)))</f>
        <v/>
      </c>
      <c r="K45" s="25" t="str">
        <f>IF(COUNTIF('Risk Register'!$R$7:$R$206,"2|H|13")=0,"",INDEX('Risk Register'!$A$7:$A$206,MATCH("2|H|13",'Risk Register'!$R$7:$R$206,0)))</f>
        <v/>
      </c>
      <c r="L45" s="25" t="str">
        <f>IF(COUNTIF('Risk Register'!$R$7:$R$206,"2|H|14")=0,"",INDEX('Risk Register'!$A$7:$A$206,MATCH("2|H|14",'Risk Register'!$R$7:$R$206,0)))</f>
        <v/>
      </c>
      <c r="M45" s="26" t="str">
        <f>IF(COUNTIF('Risk Register'!$R$7:$R$206,"2|H|15")=0,"",INDEX('Risk Register'!$A$7:$A$206,MATCH("2|H|15",'Risk Register'!$R$7:$R$206,0)))</f>
        <v/>
      </c>
      <c r="N45" s="24" t="str">
        <f>IF(COUNTIF('Risk Register'!$R$7:$R$206,"3|H|11")=0,"",INDEX('Risk Register'!$A$7:$A$206,MATCH("3|H|11",'Risk Register'!$R$7:$R$206,0)))</f>
        <v/>
      </c>
      <c r="O45" s="25" t="str">
        <f>IF(COUNTIF('Risk Register'!$R$7:$R$206,"3|H|12")=0,"",INDEX('Risk Register'!$A$7:$A$206,MATCH("3|H|12",'Risk Register'!$R$7:$R$206,0)))</f>
        <v/>
      </c>
      <c r="P45" s="25" t="str">
        <f>IF(COUNTIF('Risk Register'!$R$7:$R$206,"3|H|13")=0,"",INDEX('Risk Register'!$A$7:$A$206,MATCH("3|H|13",'Risk Register'!$R$7:$R$206,0)))</f>
        <v/>
      </c>
      <c r="Q45" s="25" t="str">
        <f>IF(COUNTIF('Risk Register'!$R$7:$R$206,"3|H|14")=0,"",INDEX('Risk Register'!$A$7:$A$206,MATCH("3|H|14",'Risk Register'!$R$7:$R$206,0)))</f>
        <v/>
      </c>
      <c r="R45" s="26" t="str">
        <f>IF(COUNTIF('Risk Register'!$R$7:$R$206,"3|H|15")=0,"",INDEX('Risk Register'!$A$7:$A$206,MATCH("3|H|15",'Risk Register'!$R$7:$R$206,0)))</f>
        <v/>
      </c>
      <c r="S45" s="24" t="str">
        <f>IF(COUNTIF('Risk Register'!$R$7:$R$206,"4|H|11")=0,"",INDEX('Risk Register'!$A$7:$A$206,MATCH("4|H|11",'Risk Register'!$R$7:$R$206,0)))</f>
        <v/>
      </c>
      <c r="T45" s="25" t="str">
        <f>IF(COUNTIF('Risk Register'!$R$7:$R$206,"4|H|12")=0,"",INDEX('Risk Register'!$A$7:$A$206,MATCH("4|H|12",'Risk Register'!$R$7:$R$206,0)))</f>
        <v/>
      </c>
      <c r="U45" s="25" t="str">
        <f>IF(COUNTIF('Risk Register'!$R$7:$R$206,"4|H|13")=0,"",INDEX('Risk Register'!$A$7:$A$206,MATCH("4|H|13",'Risk Register'!$R$7:$R$206,0)))</f>
        <v/>
      </c>
      <c r="V45" s="25" t="str">
        <f>IF(COUNTIF('Risk Register'!$R$7:$R$206,"4|H|14")=0,"",INDEX('Risk Register'!$A$7:$A$206,MATCH("4|H|14",'Risk Register'!$R$7:$R$206,0)))</f>
        <v/>
      </c>
      <c r="W45" s="26" t="str">
        <f>IF(COUNTIF('Risk Register'!$R$7:$R$206,"4|H|15")=0,"",INDEX('Risk Register'!$A$7:$A$206,MATCH("4|H|15",'Risk Register'!$R$7:$R$206,0)))</f>
        <v/>
      </c>
      <c r="X45" s="24" t="str">
        <f>IF(COUNTIF('Risk Register'!$R$7:$R$206,"5|H|11")=0,"",INDEX('Risk Register'!$A$7:$A$206,MATCH("5|H|11",'Risk Register'!$R$7:$R$206,0)))</f>
        <v/>
      </c>
      <c r="Y45" s="25" t="str">
        <f>IF(COUNTIF('Risk Register'!$R$7:$R$206,"5|H|12")=0,"",INDEX('Risk Register'!$A$7:$A$206,MATCH("5|H|12",'Risk Register'!$R$7:$R$206,0)))</f>
        <v/>
      </c>
      <c r="Z45" s="25" t="str">
        <f>IF(COUNTIF('Risk Register'!$R$7:$R$206,"5|H|13")=0,"",INDEX('Risk Register'!$A$7:$A$206,MATCH("5|H|13",'Risk Register'!$R$7:$R$206,0)))</f>
        <v/>
      </c>
      <c r="AA45" s="25" t="str">
        <f>IF(COUNTIF('Risk Register'!$R$7:$R$206,"5|H|14")=0,"",INDEX('Risk Register'!$A$7:$A$206,MATCH("5|H|14",'Risk Register'!$R$7:$R$206,0)))</f>
        <v/>
      </c>
      <c r="AB45" s="26" t="str">
        <f>IF(COUNTIF('Risk Register'!$R$7:$R$206,"5|H|15")=0,"",INDEX('Risk Register'!$A$7:$A$206,MATCH("5|H|15",'Risk Register'!$R$7:$R$206,0)))</f>
        <v/>
      </c>
      <c r="AC45" s="24" t="str">
        <f>IF(COUNTIF('Risk Register'!$R$7:$R$206,"6|H|11")=0,"",INDEX('Risk Register'!$A$7:$A$206,MATCH("6|H|11",'Risk Register'!$R$7:$R$206,0)))</f>
        <v/>
      </c>
      <c r="AD45" s="25" t="str">
        <f>IF(COUNTIF('Risk Register'!$R$7:$R$206,"6|H|12")=0,"",INDEX('Risk Register'!$A$7:$A$206,MATCH("6|H|12",'Risk Register'!$R$7:$R$206,0)))</f>
        <v/>
      </c>
      <c r="AE45" s="25" t="str">
        <f>IF(COUNTIF('Risk Register'!$R$7:$R$206,"6|H|13")=0,"",INDEX('Risk Register'!$A$7:$A$206,MATCH("6|H|13",'Risk Register'!$R$7:$R$206,0)))</f>
        <v/>
      </c>
      <c r="AF45" s="25" t="str">
        <f>IF(COUNTIF('Risk Register'!$R$7:$R$206,"6|H|14")=0,"",INDEX('Risk Register'!$A$7:$A$206,MATCH("6|H|14",'Risk Register'!$R$7:$R$206,0)))</f>
        <v/>
      </c>
      <c r="AG45" s="26" t="str">
        <f>IF(COUNTIF('Risk Register'!$R$7:$R$206,"6|H|15")=0,"",INDEX('Risk Register'!$A$7:$A$206,MATCH("6|H|15",'Risk Register'!$R$7:$R$206,0)))</f>
        <v/>
      </c>
      <c r="AH45" s="42" t="str">
        <f>IF(COUNTIF('Risk Register'!$R$7:$R$206,"7|H|11")=0,"",INDEX('Risk Register'!$A$7:$A$206,MATCH("7|H|11",'Risk Register'!$R$7:$R$206,0)))</f>
        <v/>
      </c>
      <c r="AI45" s="43" t="str">
        <f>IF(COUNTIF('Risk Register'!$R$7:$R$206,"7|H|12")=0,"",INDEX('Risk Register'!$A$7:$A$206,MATCH("7|H|12",'Risk Register'!$R$7:$R$206,0)))</f>
        <v/>
      </c>
      <c r="AJ45" s="43" t="str">
        <f>IF(COUNTIF('Risk Register'!$R$7:$R$206,"7|H|13")=0,"",INDEX('Risk Register'!$A$7:$A$206,MATCH("7|H|13",'Risk Register'!$R$7:$R$206,0)))</f>
        <v/>
      </c>
      <c r="AK45" s="43" t="str">
        <f>IF(COUNTIF('Risk Register'!$R$7:$R$206,"7|H|14")=0,"",INDEX('Risk Register'!$A$7:$A$206,MATCH("7|H|14",'Risk Register'!$R$7:$R$206,0)))</f>
        <v/>
      </c>
      <c r="AL45" s="44" t="str">
        <f>IF(COUNTIF('Risk Register'!$R$7:$R$206,"7|H|15")=0,"",INDEX('Risk Register'!$A$7:$A$206,MATCH("7|H|15",'Risk Register'!$R$7:$R$206,0)))</f>
        <v/>
      </c>
      <c r="AM45" s="42" t="str">
        <f>IF(COUNTIF('Risk Register'!$R$7:$R$206,"8|H|11")=0,"",INDEX('Risk Register'!$A$7:$A$206,MATCH("8|H|11",'Risk Register'!$R$7:$R$206,0)))</f>
        <v/>
      </c>
      <c r="AN45" s="43" t="str">
        <f>IF(COUNTIF('Risk Register'!$R$7:$R$206,"8|H|12")=0,"",INDEX('Risk Register'!$A$7:$A$206,MATCH("8|H|12",'Risk Register'!$R$7:$R$206,0)))</f>
        <v/>
      </c>
      <c r="AO45" s="43" t="str">
        <f>IF(COUNTIF('Risk Register'!$R$7:$R$206,"8|H|13")=0,"",INDEX('Risk Register'!$A$7:$A$206,MATCH("8|H|13",'Risk Register'!$R$7:$R$206,0)))</f>
        <v/>
      </c>
      <c r="AP45" s="43" t="str">
        <f>IF(COUNTIF('Risk Register'!$R$7:$R$206,"8|H|14")=0,"",INDEX('Risk Register'!$A$7:$A$206,MATCH("8|H|14",'Risk Register'!$R$7:$R$206,0)))</f>
        <v/>
      </c>
      <c r="AQ45" s="44" t="str">
        <f>IF(COUNTIF('Risk Register'!$R$7:$R$206,"8|H|15")=0,"",INDEX('Risk Register'!$A$7:$A$206,MATCH("8|H|15",'Risk Register'!$R$7:$R$206,0)))</f>
        <v/>
      </c>
      <c r="AS45" s="10">
        <f>IFERROR(INDEX('Risk Register'!$A$7:$A$206,38),"")</f>
        <v>38</v>
      </c>
      <c r="AT45" s="10">
        <f>IFERROR(INDEX('Risk Register'!$B$7:$B$206,38),"")</f>
        <v>0</v>
      </c>
    </row>
    <row r="46" spans="2:46" ht="18" customHeight="1">
      <c r="B46" s="56"/>
      <c r="C46" s="58"/>
      <c r="D46" s="24" t="str">
        <f>IF(COUNTIF('Risk Register'!$R$7:$R$206,"1|H|16")=0,"",INDEX('Risk Register'!$A$7:$A$206,MATCH("1|H|16",'Risk Register'!$R$7:$R$206,0)))</f>
        <v/>
      </c>
      <c r="E46" s="25" t="str">
        <f>IF(COUNTIF('Risk Register'!$R$7:$R$206,"1|H|17")=0,"",INDEX('Risk Register'!$A$7:$A$206,MATCH("1|H|17",'Risk Register'!$R$7:$R$206,0)))</f>
        <v/>
      </c>
      <c r="F46" s="25" t="str">
        <f>IF(COUNTIF('Risk Register'!$R$7:$R$206,"1|H|18")=0,"",INDEX('Risk Register'!$A$7:$A$206,MATCH("1|H|18",'Risk Register'!$R$7:$R$206,0)))</f>
        <v/>
      </c>
      <c r="G46" s="25" t="str">
        <f>IF(COUNTIF('Risk Register'!$R$7:$R$206,"1|H|19")=0,"",INDEX('Risk Register'!$A$7:$A$206,MATCH("1|H|19",'Risk Register'!$R$7:$R$206,0)))</f>
        <v/>
      </c>
      <c r="H46" s="26" t="str">
        <f>IF(COUNTIF('Risk Register'!$R$7:$R$206,"1|H|20")=0,"",INDEX('Risk Register'!$A$7:$A$206,MATCH("1|H|20",'Risk Register'!$R$7:$R$206,0)))</f>
        <v/>
      </c>
      <c r="I46" s="24" t="str">
        <f>IF(COUNTIF('Risk Register'!$R$7:$R$206,"2|H|16")=0,"",INDEX('Risk Register'!$A$7:$A$206,MATCH("2|H|16",'Risk Register'!$R$7:$R$206,0)))</f>
        <v/>
      </c>
      <c r="J46" s="25" t="str">
        <f>IF(COUNTIF('Risk Register'!$R$7:$R$206,"2|H|17")=0,"",INDEX('Risk Register'!$A$7:$A$206,MATCH("2|H|17",'Risk Register'!$R$7:$R$206,0)))</f>
        <v/>
      </c>
      <c r="K46" s="25" t="str">
        <f>IF(COUNTIF('Risk Register'!$R$7:$R$206,"2|H|18")=0,"",INDEX('Risk Register'!$A$7:$A$206,MATCH("2|H|18",'Risk Register'!$R$7:$R$206,0)))</f>
        <v/>
      </c>
      <c r="L46" s="25" t="str">
        <f>IF(COUNTIF('Risk Register'!$R$7:$R$206,"2|H|19")=0,"",INDEX('Risk Register'!$A$7:$A$206,MATCH("2|H|19",'Risk Register'!$R$7:$R$206,0)))</f>
        <v/>
      </c>
      <c r="M46" s="26" t="str">
        <f>IF(COUNTIF('Risk Register'!$R$7:$R$206,"2|H|20")=0,"",INDEX('Risk Register'!$A$7:$A$206,MATCH("2|H|20",'Risk Register'!$R$7:$R$206,0)))</f>
        <v/>
      </c>
      <c r="N46" s="24" t="str">
        <f>IF(COUNTIF('Risk Register'!$R$7:$R$206,"3|H|16")=0,"",INDEX('Risk Register'!$A$7:$A$206,MATCH("3|H|16",'Risk Register'!$R$7:$R$206,0)))</f>
        <v/>
      </c>
      <c r="O46" s="25" t="str">
        <f>IF(COUNTIF('Risk Register'!$R$7:$R$206,"3|H|17")=0,"",INDEX('Risk Register'!$A$7:$A$206,MATCH("3|H|17",'Risk Register'!$R$7:$R$206,0)))</f>
        <v/>
      </c>
      <c r="P46" s="25" t="str">
        <f>IF(COUNTIF('Risk Register'!$R$7:$R$206,"3|H|18")=0,"",INDEX('Risk Register'!$A$7:$A$206,MATCH("3|H|18",'Risk Register'!$R$7:$R$206,0)))</f>
        <v/>
      </c>
      <c r="Q46" s="25" t="str">
        <f>IF(COUNTIF('Risk Register'!$R$7:$R$206,"3|H|19")=0,"",INDEX('Risk Register'!$A$7:$A$206,MATCH("3|H|19",'Risk Register'!$R$7:$R$206,0)))</f>
        <v/>
      </c>
      <c r="R46" s="26" t="str">
        <f>IF(COUNTIF('Risk Register'!$R$7:$R$206,"3|H|20")=0,"",INDEX('Risk Register'!$A$7:$A$206,MATCH("3|H|20",'Risk Register'!$R$7:$R$206,0)))</f>
        <v/>
      </c>
      <c r="S46" s="24" t="str">
        <f>IF(COUNTIF('Risk Register'!$R$7:$R$206,"4|H|16")=0,"",INDEX('Risk Register'!$A$7:$A$206,MATCH("4|H|16",'Risk Register'!$R$7:$R$206,0)))</f>
        <v/>
      </c>
      <c r="T46" s="25" t="str">
        <f>IF(COUNTIF('Risk Register'!$R$7:$R$206,"4|H|17")=0,"",INDEX('Risk Register'!$A$7:$A$206,MATCH("4|H|17",'Risk Register'!$R$7:$R$206,0)))</f>
        <v/>
      </c>
      <c r="U46" s="25" t="str">
        <f>IF(COUNTIF('Risk Register'!$R$7:$R$206,"4|H|18")=0,"",INDEX('Risk Register'!$A$7:$A$206,MATCH("4|H|18",'Risk Register'!$R$7:$R$206,0)))</f>
        <v/>
      </c>
      <c r="V46" s="25" t="str">
        <f>IF(COUNTIF('Risk Register'!$R$7:$R$206,"4|H|19")=0,"",INDEX('Risk Register'!$A$7:$A$206,MATCH("4|H|19",'Risk Register'!$R$7:$R$206,0)))</f>
        <v/>
      </c>
      <c r="W46" s="26" t="str">
        <f>IF(COUNTIF('Risk Register'!$R$7:$R$206,"4|H|20")=0,"",INDEX('Risk Register'!$A$7:$A$206,MATCH("4|H|20",'Risk Register'!$R$7:$R$206,0)))</f>
        <v/>
      </c>
      <c r="X46" s="24" t="str">
        <f>IF(COUNTIF('Risk Register'!$R$7:$R$206,"5|H|16")=0,"",INDEX('Risk Register'!$A$7:$A$206,MATCH("5|H|16",'Risk Register'!$R$7:$R$206,0)))</f>
        <v/>
      </c>
      <c r="Y46" s="25" t="str">
        <f>IF(COUNTIF('Risk Register'!$R$7:$R$206,"5|H|17")=0,"",INDEX('Risk Register'!$A$7:$A$206,MATCH("5|H|17",'Risk Register'!$R$7:$R$206,0)))</f>
        <v/>
      </c>
      <c r="Z46" s="25" t="str">
        <f>IF(COUNTIF('Risk Register'!$R$7:$R$206,"5|H|18")=0,"",INDEX('Risk Register'!$A$7:$A$206,MATCH("5|H|18",'Risk Register'!$R$7:$R$206,0)))</f>
        <v/>
      </c>
      <c r="AA46" s="25" t="str">
        <f>IF(COUNTIF('Risk Register'!$R$7:$R$206,"5|H|19")=0,"",INDEX('Risk Register'!$A$7:$A$206,MATCH("5|H|19",'Risk Register'!$R$7:$R$206,0)))</f>
        <v/>
      </c>
      <c r="AB46" s="26" t="str">
        <f>IF(COUNTIF('Risk Register'!$R$7:$R$206,"5|H|20")=0,"",INDEX('Risk Register'!$A$7:$A$206,MATCH("5|H|20",'Risk Register'!$R$7:$R$206,0)))</f>
        <v/>
      </c>
      <c r="AC46" s="24" t="str">
        <f>IF(COUNTIF('Risk Register'!$R$7:$R$206,"6|H|16")=0,"",INDEX('Risk Register'!$A$7:$A$206,MATCH("6|H|16",'Risk Register'!$R$7:$R$206,0)))</f>
        <v/>
      </c>
      <c r="AD46" s="25" t="str">
        <f>IF(COUNTIF('Risk Register'!$R$7:$R$206,"6|H|17")=0,"",INDEX('Risk Register'!$A$7:$A$206,MATCH("6|H|17",'Risk Register'!$R$7:$R$206,0)))</f>
        <v/>
      </c>
      <c r="AE46" s="25" t="str">
        <f>IF(COUNTIF('Risk Register'!$R$7:$R$206,"6|H|18")=0,"",INDEX('Risk Register'!$A$7:$A$206,MATCH("6|H|18",'Risk Register'!$R$7:$R$206,0)))</f>
        <v/>
      </c>
      <c r="AF46" s="25" t="str">
        <f>IF(COUNTIF('Risk Register'!$R$7:$R$206,"6|H|19")=0,"",INDEX('Risk Register'!$A$7:$A$206,MATCH("6|H|19",'Risk Register'!$R$7:$R$206,0)))</f>
        <v/>
      </c>
      <c r="AG46" s="26" t="str">
        <f>IF(COUNTIF('Risk Register'!$R$7:$R$206,"6|H|20")=0,"",INDEX('Risk Register'!$A$7:$A$206,MATCH("6|H|20",'Risk Register'!$R$7:$R$206,0)))</f>
        <v/>
      </c>
      <c r="AH46" s="42" t="str">
        <f>IF(COUNTIF('Risk Register'!$R$7:$R$206,"7|H|16")=0,"",INDEX('Risk Register'!$A$7:$A$206,MATCH("7|H|16",'Risk Register'!$R$7:$R$206,0)))</f>
        <v/>
      </c>
      <c r="AI46" s="43" t="str">
        <f>IF(COUNTIF('Risk Register'!$R$7:$R$206,"7|H|17")=0,"",INDEX('Risk Register'!$A$7:$A$206,MATCH("7|H|17",'Risk Register'!$R$7:$R$206,0)))</f>
        <v/>
      </c>
      <c r="AJ46" s="43" t="str">
        <f>IF(COUNTIF('Risk Register'!$R$7:$R$206,"7|H|18")=0,"",INDEX('Risk Register'!$A$7:$A$206,MATCH("7|H|18",'Risk Register'!$R$7:$R$206,0)))</f>
        <v/>
      </c>
      <c r="AK46" s="43" t="str">
        <f>IF(COUNTIF('Risk Register'!$R$7:$R$206,"7|H|19")=0,"",INDEX('Risk Register'!$A$7:$A$206,MATCH("7|H|19",'Risk Register'!$R$7:$R$206,0)))</f>
        <v/>
      </c>
      <c r="AL46" s="44" t="str">
        <f>IF(COUNTIF('Risk Register'!$R$7:$R$206,"7|H|20")=0,"",INDEX('Risk Register'!$A$7:$A$206,MATCH("7|H|20",'Risk Register'!$R$7:$R$206,0)))</f>
        <v/>
      </c>
      <c r="AM46" s="42" t="str">
        <f>IF(COUNTIF('Risk Register'!$R$7:$R$206,"8|H|16")=0,"",INDEX('Risk Register'!$A$7:$A$206,MATCH("8|H|16",'Risk Register'!$R$7:$R$206,0)))</f>
        <v/>
      </c>
      <c r="AN46" s="43" t="str">
        <f>IF(COUNTIF('Risk Register'!$R$7:$R$206,"8|H|17")=0,"",INDEX('Risk Register'!$A$7:$A$206,MATCH("8|H|17",'Risk Register'!$R$7:$R$206,0)))</f>
        <v/>
      </c>
      <c r="AO46" s="43" t="str">
        <f>IF(COUNTIF('Risk Register'!$R$7:$R$206,"8|H|18")=0,"",INDEX('Risk Register'!$A$7:$A$206,MATCH("8|H|18",'Risk Register'!$R$7:$R$206,0)))</f>
        <v/>
      </c>
      <c r="AP46" s="43" t="str">
        <f>IF(COUNTIF('Risk Register'!$R$7:$R$206,"8|H|19")=0,"",INDEX('Risk Register'!$A$7:$A$206,MATCH("8|H|19",'Risk Register'!$R$7:$R$206,0)))</f>
        <v/>
      </c>
      <c r="AQ46" s="44" t="str">
        <f>IF(COUNTIF('Risk Register'!$R$7:$R$206,"8|H|20")=0,"",INDEX('Risk Register'!$A$7:$A$206,MATCH("8|H|20",'Risk Register'!$R$7:$R$206,0)))</f>
        <v/>
      </c>
      <c r="AS46" s="10">
        <f>IFERROR(INDEX('Risk Register'!$A$7:$A$206,39),"")</f>
        <v>39</v>
      </c>
      <c r="AT46" s="10">
        <f>IFERROR(INDEX('Risk Register'!$B$7:$B$206,39),"")</f>
        <v>0</v>
      </c>
    </row>
    <row r="47" spans="2:46" ht="18" customHeight="1">
      <c r="B47" s="56"/>
      <c r="C47" s="58"/>
      <c r="D47" s="27" t="str">
        <f>IF(COUNTIF('Risk Register'!$R$7:$R$206,"1|H|21")=0,"",INDEX('Risk Register'!$A$7:$A$206,MATCH("1|H|21",'Risk Register'!$R$7:$R$206,0)))</f>
        <v/>
      </c>
      <c r="E47" s="28" t="str">
        <f>IF(COUNTIF('Risk Register'!$R$7:$R$206,"1|H|22")=0,"",INDEX('Risk Register'!$A$7:$A$206,MATCH("1|H|22",'Risk Register'!$R$7:$R$206,0)))</f>
        <v/>
      </c>
      <c r="F47" s="28" t="str">
        <f>IF(COUNTIF('Risk Register'!$R$7:$R$206,"1|H|23")=0,"",INDEX('Risk Register'!$A$7:$A$206,MATCH("1|H|23",'Risk Register'!$R$7:$R$206,0)))</f>
        <v/>
      </c>
      <c r="G47" s="28" t="str">
        <f>IF(COUNTIF('Risk Register'!$R$7:$R$206,"1|H|24")=0,"",INDEX('Risk Register'!$A$7:$A$206,MATCH("1|H|24",'Risk Register'!$R$7:$R$206,0)))</f>
        <v/>
      </c>
      <c r="H47" s="29" t="str">
        <f>IF(COUNTIF('Risk Register'!$R$7:$R$206,"1|H|25")=0,"",INDEX('Risk Register'!$A$7:$A$206,MATCH("1|H|25",'Risk Register'!$R$7:$R$206,0)))</f>
        <v/>
      </c>
      <c r="I47" s="27" t="str">
        <f>IF(COUNTIF('Risk Register'!$R$7:$R$206,"2|H|21")=0,"",INDEX('Risk Register'!$A$7:$A$206,MATCH("2|H|21",'Risk Register'!$R$7:$R$206,0)))</f>
        <v/>
      </c>
      <c r="J47" s="28" t="str">
        <f>IF(COUNTIF('Risk Register'!$R$7:$R$206,"2|H|22")=0,"",INDEX('Risk Register'!$A$7:$A$206,MATCH("2|H|22",'Risk Register'!$R$7:$R$206,0)))</f>
        <v/>
      </c>
      <c r="K47" s="28" t="str">
        <f>IF(COUNTIF('Risk Register'!$R$7:$R$206,"2|H|23")=0,"",INDEX('Risk Register'!$A$7:$A$206,MATCH("2|H|23",'Risk Register'!$R$7:$R$206,0)))</f>
        <v/>
      </c>
      <c r="L47" s="28" t="str">
        <f>IF(COUNTIF('Risk Register'!$R$7:$R$206,"2|H|24")=0,"",INDEX('Risk Register'!$A$7:$A$206,MATCH("2|H|24",'Risk Register'!$R$7:$R$206,0)))</f>
        <v/>
      </c>
      <c r="M47" s="29" t="str">
        <f>IF(COUNTIF('Risk Register'!$R$7:$R$206,"2|H|25")=0,"",INDEX('Risk Register'!$A$7:$A$206,MATCH("2|H|25",'Risk Register'!$R$7:$R$206,0)))</f>
        <v/>
      </c>
      <c r="N47" s="27" t="str">
        <f>IF(COUNTIF('Risk Register'!$R$7:$R$206,"3|H|21")=0,"",INDEX('Risk Register'!$A$7:$A$206,MATCH("3|H|21",'Risk Register'!$R$7:$R$206,0)))</f>
        <v/>
      </c>
      <c r="O47" s="28" t="str">
        <f>IF(COUNTIF('Risk Register'!$R$7:$R$206,"3|H|22")=0,"",INDEX('Risk Register'!$A$7:$A$206,MATCH("3|H|22",'Risk Register'!$R$7:$R$206,0)))</f>
        <v/>
      </c>
      <c r="P47" s="28" t="str">
        <f>IF(COUNTIF('Risk Register'!$R$7:$R$206,"3|H|23")=0,"",INDEX('Risk Register'!$A$7:$A$206,MATCH("3|H|23",'Risk Register'!$R$7:$R$206,0)))</f>
        <v/>
      </c>
      <c r="Q47" s="28" t="str">
        <f>IF(COUNTIF('Risk Register'!$R$7:$R$206,"3|H|24")=0,"",INDEX('Risk Register'!$A$7:$A$206,MATCH("3|H|24",'Risk Register'!$R$7:$R$206,0)))</f>
        <v/>
      </c>
      <c r="R47" s="29" t="str">
        <f>IF(COUNTIF('Risk Register'!$R$7:$R$206,"3|H|25")=0,"",INDEX('Risk Register'!$A$7:$A$206,MATCH("3|H|25",'Risk Register'!$R$7:$R$206,0)))</f>
        <v/>
      </c>
      <c r="S47" s="27" t="str">
        <f>IF(COUNTIF('Risk Register'!$R$7:$R$206,"4|H|21")=0,"",INDEX('Risk Register'!$A$7:$A$206,MATCH("4|H|21",'Risk Register'!$R$7:$R$206,0)))</f>
        <v/>
      </c>
      <c r="T47" s="28" t="str">
        <f>IF(COUNTIF('Risk Register'!$R$7:$R$206,"4|H|22")=0,"",INDEX('Risk Register'!$A$7:$A$206,MATCH("4|H|22",'Risk Register'!$R$7:$R$206,0)))</f>
        <v/>
      </c>
      <c r="U47" s="28" t="str">
        <f>IF(COUNTIF('Risk Register'!$R$7:$R$206,"4|H|23")=0,"",INDEX('Risk Register'!$A$7:$A$206,MATCH("4|H|23",'Risk Register'!$R$7:$R$206,0)))</f>
        <v/>
      </c>
      <c r="V47" s="28" t="str">
        <f>IF(COUNTIF('Risk Register'!$R$7:$R$206,"4|H|24")=0,"",INDEX('Risk Register'!$A$7:$A$206,MATCH("4|H|24",'Risk Register'!$R$7:$R$206,0)))</f>
        <v/>
      </c>
      <c r="W47" s="29" t="str">
        <f>IF(COUNTIF('Risk Register'!$R$7:$R$206,"4|H|25")=0,"",INDEX('Risk Register'!$A$7:$A$206,MATCH("4|H|25",'Risk Register'!$R$7:$R$206,0)))</f>
        <v/>
      </c>
      <c r="X47" s="27" t="str">
        <f>IF(COUNTIF('Risk Register'!$R$7:$R$206,"5|H|21")=0,"",INDEX('Risk Register'!$A$7:$A$206,MATCH("5|H|21",'Risk Register'!$R$7:$R$206,0)))</f>
        <v/>
      </c>
      <c r="Y47" s="28" t="str">
        <f>IF(COUNTIF('Risk Register'!$R$7:$R$206,"5|H|22")=0,"",INDEX('Risk Register'!$A$7:$A$206,MATCH("5|H|22",'Risk Register'!$R$7:$R$206,0)))</f>
        <v/>
      </c>
      <c r="Z47" s="28" t="str">
        <f>IF(COUNTIF('Risk Register'!$R$7:$R$206,"5|H|23")=0,"",INDEX('Risk Register'!$A$7:$A$206,MATCH("5|H|23",'Risk Register'!$R$7:$R$206,0)))</f>
        <v/>
      </c>
      <c r="AA47" s="28" t="str">
        <f>IF(COUNTIF('Risk Register'!$R$7:$R$206,"5|H|24")=0,"",INDEX('Risk Register'!$A$7:$A$206,MATCH("5|H|24",'Risk Register'!$R$7:$R$206,0)))</f>
        <v/>
      </c>
      <c r="AB47" s="29" t="str">
        <f>IF(COUNTIF('Risk Register'!$R$7:$R$206,"5|H|25")=0,"",INDEX('Risk Register'!$A$7:$A$206,MATCH("5|H|25",'Risk Register'!$R$7:$R$206,0)))</f>
        <v/>
      </c>
      <c r="AC47" s="27" t="str">
        <f>IF(COUNTIF('Risk Register'!$R$7:$R$206,"6|H|21")=0,"",INDEX('Risk Register'!$A$7:$A$206,MATCH("6|H|21",'Risk Register'!$R$7:$R$206,0)))</f>
        <v/>
      </c>
      <c r="AD47" s="28" t="str">
        <f>IF(COUNTIF('Risk Register'!$R$7:$R$206,"6|H|22")=0,"",INDEX('Risk Register'!$A$7:$A$206,MATCH("6|H|22",'Risk Register'!$R$7:$R$206,0)))</f>
        <v/>
      </c>
      <c r="AE47" s="28" t="str">
        <f>IF(COUNTIF('Risk Register'!$R$7:$R$206,"6|H|23")=0,"",INDEX('Risk Register'!$A$7:$A$206,MATCH("6|H|23",'Risk Register'!$R$7:$R$206,0)))</f>
        <v/>
      </c>
      <c r="AF47" s="28" t="str">
        <f>IF(COUNTIF('Risk Register'!$R$7:$R$206,"6|H|24")=0,"",INDEX('Risk Register'!$A$7:$A$206,MATCH("6|H|24",'Risk Register'!$R$7:$R$206,0)))</f>
        <v/>
      </c>
      <c r="AG47" s="29" t="str">
        <f>IF(COUNTIF('Risk Register'!$R$7:$R$206,"6|H|25")=0,"",INDEX('Risk Register'!$A$7:$A$206,MATCH("6|H|25",'Risk Register'!$R$7:$R$206,0)))</f>
        <v/>
      </c>
      <c r="AH47" s="45" t="str">
        <f>IF(COUNTIF('Risk Register'!$R$7:$R$206,"7|H|21")=0,"",INDEX('Risk Register'!$A$7:$A$206,MATCH("7|H|21",'Risk Register'!$R$7:$R$206,0)))</f>
        <v/>
      </c>
      <c r="AI47" s="46" t="str">
        <f>IF(COUNTIF('Risk Register'!$R$7:$R$206,"7|H|22")=0,"",INDEX('Risk Register'!$A$7:$A$206,MATCH("7|H|22",'Risk Register'!$R$7:$R$206,0)))</f>
        <v/>
      </c>
      <c r="AJ47" s="46" t="str">
        <f>IF(COUNTIF('Risk Register'!$R$7:$R$206,"7|H|23")=0,"",INDEX('Risk Register'!$A$7:$A$206,MATCH("7|H|23",'Risk Register'!$R$7:$R$206,0)))</f>
        <v/>
      </c>
      <c r="AK47" s="46" t="str">
        <f>IF(COUNTIF('Risk Register'!$R$7:$R$206,"7|H|24")=0,"",INDEX('Risk Register'!$A$7:$A$206,MATCH("7|H|24",'Risk Register'!$R$7:$R$206,0)))</f>
        <v/>
      </c>
      <c r="AL47" s="47" t="str">
        <f>IF(COUNTIF('Risk Register'!$R$7:$R$206,"7|H|25")=0,"",INDEX('Risk Register'!$A$7:$A$206,MATCH("7|H|25",'Risk Register'!$R$7:$R$206,0)))</f>
        <v/>
      </c>
      <c r="AM47" s="45" t="str">
        <f>IF(COUNTIF('Risk Register'!$R$7:$R$206,"8|H|21")=0,"",INDEX('Risk Register'!$A$7:$A$206,MATCH("8|H|21",'Risk Register'!$R$7:$R$206,0)))</f>
        <v/>
      </c>
      <c r="AN47" s="46" t="str">
        <f>IF(COUNTIF('Risk Register'!$R$7:$R$206,"8|H|22")=0,"",INDEX('Risk Register'!$A$7:$A$206,MATCH("8|H|22",'Risk Register'!$R$7:$R$206,0)))</f>
        <v/>
      </c>
      <c r="AO47" s="46" t="str">
        <f>IF(COUNTIF('Risk Register'!$R$7:$R$206,"8|H|23")=0,"",INDEX('Risk Register'!$A$7:$A$206,MATCH("8|H|23",'Risk Register'!$R$7:$R$206,0)))</f>
        <v/>
      </c>
      <c r="AP47" s="46" t="str">
        <f>IF(COUNTIF('Risk Register'!$R$7:$R$206,"8|H|24")=0,"",INDEX('Risk Register'!$A$7:$A$206,MATCH("8|H|24",'Risk Register'!$R$7:$R$206,0)))</f>
        <v/>
      </c>
      <c r="AQ47" s="47" t="str">
        <f>IF(COUNTIF('Risk Register'!$R$7:$R$206,"8|H|25")=0,"",INDEX('Risk Register'!$A$7:$A$206,MATCH("8|H|25",'Risk Register'!$R$7:$R$206,0)))</f>
        <v/>
      </c>
      <c r="AS47" s="10">
        <f>IFERROR(INDEX('Risk Register'!$A$7:$A$206,40),"")</f>
        <v>40</v>
      </c>
      <c r="AT47" s="10">
        <f>IFERROR(INDEX('Risk Register'!$B$7:$B$206,40),"")</f>
        <v>0</v>
      </c>
    </row>
    <row r="48" spans="2:46">
      <c r="AS48" s="10">
        <f>IFERROR(INDEX('Risk Register'!$A$7:$A$206,41),"")</f>
        <v>41</v>
      </c>
      <c r="AT48" s="10">
        <f>IFERROR(INDEX('Risk Register'!$B$7:$B$206,41),"")</f>
        <v>0</v>
      </c>
    </row>
    <row r="49" spans="2:46">
      <c r="AS49" s="10">
        <f>IFERROR(INDEX('Risk Register'!$A$7:$A$206,42),"")</f>
        <v>42</v>
      </c>
      <c r="AT49" s="10">
        <f>IFERROR(INDEX('Risk Register'!$B$7:$B$206,42),"")</f>
        <v>0</v>
      </c>
    </row>
    <row r="50" spans="2:46">
      <c r="AS50" s="10">
        <f>IFERROR(INDEX('Risk Register'!$A$7:$A$206,43),"")</f>
        <v>43</v>
      </c>
      <c r="AT50" s="10">
        <f>IFERROR(INDEX('Risk Register'!$B$7:$B$206,43),"")</f>
        <v>0</v>
      </c>
    </row>
    <row r="51" spans="2:46">
      <c r="AS51" s="10">
        <f>IFERROR(INDEX('Risk Register'!$A$7:$A$206,44),"")</f>
        <v>44</v>
      </c>
      <c r="AT51" s="10">
        <f>IFERROR(INDEX('Risk Register'!$B$7:$B$206,44),"")</f>
        <v>0</v>
      </c>
    </row>
    <row r="52" spans="2:46">
      <c r="AS52" s="10">
        <f>IFERROR(INDEX('Risk Register'!$A$7:$A$206,45),"")</f>
        <v>45</v>
      </c>
      <c r="AT52" s="10">
        <f>IFERROR(INDEX('Risk Register'!$B$7:$B$206,45),"")</f>
        <v>0</v>
      </c>
    </row>
    <row r="53" spans="2:46">
      <c r="AS53" s="10">
        <f>IFERROR(INDEX('Risk Register'!$A$7:$A$206,46),"")</f>
        <v>46</v>
      </c>
      <c r="AT53" s="10">
        <f>IFERROR(INDEX('Risk Register'!$B$7:$B$206,46),"")</f>
        <v>0</v>
      </c>
    </row>
    <row r="54" spans="2:46">
      <c r="AS54" s="10">
        <f>IFERROR(INDEX('Risk Register'!$A$7:$A$206,47),"")</f>
        <v>47</v>
      </c>
      <c r="AT54" s="10">
        <f>IFERROR(INDEX('Risk Register'!$B$7:$B$206,47),"")</f>
        <v>0</v>
      </c>
    </row>
    <row r="55" spans="2:46">
      <c r="AS55" s="10">
        <f>IFERROR(INDEX('Risk Register'!$A$7:$A$206,48),"")</f>
        <v>48</v>
      </c>
      <c r="AT55" s="10">
        <f>IFERROR(INDEX('Risk Register'!$B$7:$B$206,48),"")</f>
        <v>0</v>
      </c>
    </row>
    <row r="56" spans="2:46">
      <c r="AS56" s="10">
        <f>IFERROR(INDEX('Risk Register'!$A$7:$A$206,49),"")</f>
        <v>49</v>
      </c>
      <c r="AT56" s="10">
        <f>IFERROR(INDEX('Risk Register'!$B$7:$B$206,49),"")</f>
        <v>0</v>
      </c>
    </row>
    <row r="57" spans="2:46">
      <c r="AS57" s="10">
        <f>IFERROR(INDEX('Risk Register'!$A$7:$A$206,50),"")</f>
        <v>50</v>
      </c>
      <c r="AT57" s="10">
        <f>IFERROR(INDEX('Risk Register'!$B$7:$B$206,50),"")</f>
        <v>0</v>
      </c>
    </row>
    <row r="58" spans="2:46">
      <c r="AS58" s="10">
        <f>IFERROR(INDEX('Risk Register'!$A$7:$A$206,51),"")</f>
        <v>51</v>
      </c>
      <c r="AT58" s="10">
        <f>IFERROR(INDEX('Risk Register'!$B$7:$B$206,51),"")</f>
        <v>0</v>
      </c>
    </row>
    <row r="59" spans="2:46">
      <c r="AS59" s="10">
        <f>IFERROR(INDEX('Risk Register'!$A$7:$A$206,52),"")</f>
        <v>52</v>
      </c>
      <c r="AT59" s="10">
        <f>IFERROR(INDEX('Risk Register'!$B$7:$B$206,52),"")</f>
        <v>0</v>
      </c>
    </row>
    <row r="60" spans="2:46">
      <c r="AS60" s="10">
        <f>IFERROR(INDEX('Risk Register'!$A$7:$A$206,53),"")</f>
        <v>53</v>
      </c>
      <c r="AT60" s="10">
        <f>IFERROR(INDEX('Risk Register'!$B$7:$B$206,53),"")</f>
        <v>0</v>
      </c>
    </row>
    <row r="61" spans="2:46">
      <c r="AS61" s="10">
        <f>IFERROR(INDEX('Risk Register'!$A$7:$A$206,54),"")</f>
        <v>54</v>
      </c>
      <c r="AT61" s="10">
        <f>IFERROR(INDEX('Risk Register'!$B$7:$B$206,54),"")</f>
        <v>0</v>
      </c>
    </row>
    <row r="62" spans="2:46">
      <c r="AS62" s="10">
        <f>IFERROR(INDEX('Risk Register'!$A$7:$A$206,55),"")</f>
        <v>55</v>
      </c>
      <c r="AT62" s="10">
        <f>IFERROR(INDEX('Risk Register'!$B$7:$B$206,55),"")</f>
        <v>0</v>
      </c>
    </row>
    <row r="63" spans="2:46" ht="18">
      <c r="B63" s="54"/>
      <c r="C63" s="54"/>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S63" s="10">
        <f>IFERROR(INDEX('Risk Register'!$A$7:$A$206,56),"")</f>
        <v>56</v>
      </c>
      <c r="AT63" s="10">
        <f>IFERROR(INDEX('Risk Register'!$B$7:$B$206,56),"")</f>
        <v>0</v>
      </c>
    </row>
    <row r="64" spans="2:46" ht="15.75">
      <c r="B64" s="54"/>
      <c r="C64" s="54"/>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S64" s="10">
        <f>IFERROR(INDEX('Risk Register'!$A$7:$A$206,57),"")</f>
        <v>57</v>
      </c>
      <c r="AT64" s="10">
        <f>IFERROR(INDEX('Risk Register'!$B$7:$B$206,57),"")</f>
        <v>0</v>
      </c>
    </row>
    <row r="65" spans="2:46">
      <c r="B65" s="55"/>
      <c r="C65" s="62"/>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S65" s="10">
        <f>IFERROR(INDEX('Risk Register'!$A$7:$A$206,58),"")</f>
        <v>58</v>
      </c>
      <c r="AT65" s="10">
        <f>IFERROR(INDEX('Risk Register'!$B$7:$B$206,58),"")</f>
        <v>0</v>
      </c>
    </row>
    <row r="66" spans="2:46">
      <c r="B66" s="55"/>
      <c r="C66" s="62"/>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S66" s="10">
        <f>IFERROR(INDEX('Risk Register'!$A$7:$A$206,59),"")</f>
        <v>59</v>
      </c>
      <c r="AT66" s="10">
        <f>IFERROR(INDEX('Risk Register'!$B$7:$B$206,59),"")</f>
        <v>0</v>
      </c>
    </row>
    <row r="67" spans="2:46">
      <c r="B67" s="55"/>
      <c r="C67" s="62"/>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S67" s="10">
        <f>IFERROR(INDEX('Risk Register'!$A$7:$A$206,60),"")</f>
        <v>60</v>
      </c>
      <c r="AT67" s="10">
        <f>IFERROR(INDEX('Risk Register'!$B$7:$B$206,60),"")</f>
        <v>0</v>
      </c>
    </row>
    <row r="68" spans="2:46">
      <c r="B68" s="55"/>
      <c r="C68" s="62"/>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S68" s="10">
        <f>IFERROR(INDEX('Risk Register'!$A$7:$A$206,61),"")</f>
        <v>61</v>
      </c>
      <c r="AT68" s="10">
        <f>IFERROR(INDEX('Risk Register'!$B$7:$B$206,61),"")</f>
        <v>0</v>
      </c>
    </row>
    <row r="69" spans="2:46">
      <c r="B69" s="55"/>
      <c r="C69" s="62"/>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S69" s="10">
        <f>IFERROR(INDEX('Risk Register'!$A$7:$A$206,62),"")</f>
        <v>62</v>
      </c>
      <c r="AT69" s="10">
        <f>IFERROR(INDEX('Risk Register'!$B$7:$B$206,62),"")</f>
        <v>0</v>
      </c>
    </row>
    <row r="70" spans="2:46">
      <c r="B70" s="55"/>
      <c r="C70" s="62"/>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S70" s="10">
        <f>IFERROR(INDEX('Risk Register'!$A$7:$A$206,63),"")</f>
        <v>63</v>
      </c>
      <c r="AT70" s="10">
        <f>IFERROR(INDEX('Risk Register'!$B$7:$B$206,63),"")</f>
        <v>0</v>
      </c>
    </row>
    <row r="71" spans="2:46">
      <c r="B71" s="55"/>
      <c r="C71" s="62"/>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S71" s="10">
        <f>IFERROR(INDEX('Risk Register'!$A$7:$A$206,64),"")</f>
        <v>64</v>
      </c>
      <c r="AT71" s="10">
        <f>IFERROR(INDEX('Risk Register'!$B$7:$B$206,64),"")</f>
        <v>0</v>
      </c>
    </row>
    <row r="72" spans="2:46">
      <c r="B72" s="55"/>
      <c r="C72" s="62"/>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S72" s="10">
        <f>IFERROR(INDEX('Risk Register'!$A$7:$A$206,65),"")</f>
        <v>65</v>
      </c>
      <c r="AT72" s="10">
        <f>IFERROR(INDEX('Risk Register'!$B$7:$B$206,65),"")</f>
        <v>0</v>
      </c>
    </row>
    <row r="73" spans="2:46">
      <c r="B73" s="55"/>
      <c r="C73" s="62"/>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S73" s="10">
        <f>IFERROR(INDEX('Risk Register'!$A$7:$A$206,66),"")</f>
        <v>66</v>
      </c>
      <c r="AT73" s="10">
        <f>IFERROR(INDEX('Risk Register'!$B$7:$B$206,66),"")</f>
        <v>0</v>
      </c>
    </row>
    <row r="74" spans="2:46">
      <c r="B74" s="55"/>
      <c r="C74" s="62"/>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S74" s="10">
        <f>IFERROR(INDEX('Risk Register'!$A$7:$A$206,67),"")</f>
        <v>67</v>
      </c>
      <c r="AT74" s="10">
        <f>IFERROR(INDEX('Risk Register'!$B$7:$B$206,67),"")</f>
        <v>0</v>
      </c>
    </row>
    <row r="75" spans="2:46">
      <c r="B75" s="55"/>
      <c r="C75" s="62"/>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S75" s="10">
        <f>IFERROR(INDEX('Risk Register'!$A$7:$A$206,68),"")</f>
        <v>68</v>
      </c>
      <c r="AT75" s="10">
        <f>IFERROR(INDEX('Risk Register'!$B$7:$B$206,68),"")</f>
        <v>0</v>
      </c>
    </row>
    <row r="76" spans="2:46">
      <c r="B76" s="55"/>
      <c r="C76" s="62"/>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S76" s="10">
        <f>IFERROR(INDEX('Risk Register'!$A$7:$A$206,69),"")</f>
        <v>69</v>
      </c>
      <c r="AT76" s="10">
        <f>IFERROR(INDEX('Risk Register'!$B$7:$B$206,69),"")</f>
        <v>0</v>
      </c>
    </row>
    <row r="77" spans="2:46">
      <c r="B77" s="55"/>
      <c r="C77" s="62"/>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S77" s="10">
        <f>IFERROR(INDEX('Risk Register'!$A$7:$A$206,70),"")</f>
        <v>70</v>
      </c>
      <c r="AT77" s="10">
        <f>IFERROR(INDEX('Risk Register'!$B$7:$B$206,70),"")</f>
        <v>0</v>
      </c>
    </row>
    <row r="78" spans="2:46">
      <c r="B78" s="55"/>
      <c r="C78" s="62"/>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S78" s="10">
        <f>IFERROR(INDEX('Risk Register'!$A$7:$A$206,71),"")</f>
        <v>71</v>
      </c>
      <c r="AT78" s="10">
        <f>IFERROR(INDEX('Risk Register'!$B$7:$B$206,71),"")</f>
        <v>0</v>
      </c>
    </row>
    <row r="79" spans="2:46">
      <c r="B79" s="55"/>
      <c r="C79" s="62"/>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S79" s="10">
        <f>IFERROR(INDEX('Risk Register'!$A$7:$A$206,72),"")</f>
        <v>72</v>
      </c>
      <c r="AT79" s="10">
        <f>IFERROR(INDEX('Risk Register'!$B$7:$B$206,72),"")</f>
        <v>0</v>
      </c>
    </row>
    <row r="80" spans="2:46">
      <c r="B80" s="55"/>
      <c r="C80" s="62"/>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S80" s="10">
        <f>IFERROR(INDEX('Risk Register'!$A$7:$A$206,73),"")</f>
        <v>73</v>
      </c>
      <c r="AT80" s="10">
        <f>IFERROR(INDEX('Risk Register'!$B$7:$B$206,73),"")</f>
        <v>0</v>
      </c>
    </row>
    <row r="81" spans="2:46">
      <c r="B81" s="55"/>
      <c r="C81" s="62"/>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S81" s="10">
        <f>IFERROR(INDEX('Risk Register'!$A$7:$A$206,74),"")</f>
        <v>74</v>
      </c>
      <c r="AT81" s="10">
        <f>IFERROR(INDEX('Risk Register'!$B$7:$B$206,74),"")</f>
        <v>0</v>
      </c>
    </row>
    <row r="82" spans="2:46">
      <c r="B82" s="55"/>
      <c r="C82" s="62"/>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S82" s="10">
        <f>IFERROR(INDEX('Risk Register'!$A$7:$A$206,75),"")</f>
        <v>75</v>
      </c>
      <c r="AT82" s="10">
        <f>IFERROR(INDEX('Risk Register'!$B$7:$B$206,75),"")</f>
        <v>0</v>
      </c>
    </row>
    <row r="83" spans="2:46">
      <c r="B83" s="55"/>
      <c r="C83" s="62"/>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S83" s="10">
        <f>IFERROR(INDEX('Risk Register'!$A$7:$A$206,76),"")</f>
        <v>76</v>
      </c>
      <c r="AT83" s="10">
        <f>IFERROR(INDEX('Risk Register'!$B$7:$B$206,76),"")</f>
        <v>0</v>
      </c>
    </row>
    <row r="84" spans="2:46">
      <c r="B84" s="55"/>
      <c r="C84" s="62"/>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S84" s="10">
        <f>IFERROR(INDEX('Risk Register'!$A$7:$A$206,77),"")</f>
        <v>77</v>
      </c>
      <c r="AT84" s="10">
        <f>IFERROR(INDEX('Risk Register'!$B$7:$B$206,77),"")</f>
        <v>0</v>
      </c>
    </row>
    <row r="85" spans="2:46">
      <c r="B85" s="55"/>
      <c r="C85" s="62"/>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S85" s="10">
        <f>IFERROR(INDEX('Risk Register'!$A$7:$A$206,78),"")</f>
        <v>78</v>
      </c>
      <c r="AT85" s="10">
        <f>IFERROR(INDEX('Risk Register'!$B$7:$B$206,78),"")</f>
        <v>0</v>
      </c>
    </row>
    <row r="86" spans="2:46">
      <c r="B86" s="55"/>
      <c r="C86" s="62"/>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S86" s="10">
        <f>IFERROR(INDEX('Risk Register'!$A$7:$A$206,79),"")</f>
        <v>79</v>
      </c>
      <c r="AT86" s="10">
        <f>IFERROR(INDEX('Risk Register'!$B$7:$B$206,79),"")</f>
        <v>0</v>
      </c>
    </row>
    <row r="87" spans="2:46">
      <c r="B87" s="55"/>
      <c r="C87" s="62"/>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S87" s="10">
        <f>IFERROR(INDEX('Risk Register'!$A$7:$A$206,80),"")</f>
        <v>80</v>
      </c>
      <c r="AT87" s="10">
        <f>IFERROR(INDEX('Risk Register'!$B$7:$B$206,80),"")</f>
        <v>0</v>
      </c>
    </row>
    <row r="88" spans="2:46">
      <c r="B88" s="55"/>
      <c r="C88" s="62"/>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S88" s="10">
        <f>IFERROR(INDEX('Risk Register'!$A$7:$A$206,81),"")</f>
        <v>81</v>
      </c>
      <c r="AT88" s="10">
        <f>IFERROR(INDEX('Risk Register'!$B$7:$B$206,81),"")</f>
        <v>0</v>
      </c>
    </row>
    <row r="89" spans="2:46">
      <c r="B89" s="55"/>
      <c r="C89" s="62"/>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S89" s="10">
        <f>IFERROR(INDEX('Risk Register'!$A$7:$A$206,82),"")</f>
        <v>82</v>
      </c>
      <c r="AT89" s="10">
        <f>IFERROR(INDEX('Risk Register'!$B$7:$B$206,82),"")</f>
        <v>0</v>
      </c>
    </row>
    <row r="90" spans="2:46">
      <c r="B90" s="55"/>
      <c r="C90" s="62"/>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S90" s="10">
        <f>IFERROR(INDEX('Risk Register'!$A$7:$A$206,83),"")</f>
        <v>83</v>
      </c>
      <c r="AT90" s="10">
        <f>IFERROR(INDEX('Risk Register'!$B$7:$B$206,83),"")</f>
        <v>0</v>
      </c>
    </row>
    <row r="91" spans="2:46">
      <c r="B91" s="55"/>
      <c r="C91" s="62"/>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S91" s="10">
        <f>IFERROR(INDEX('Risk Register'!$A$7:$A$206,84),"")</f>
        <v>84</v>
      </c>
      <c r="AT91" s="10">
        <f>IFERROR(INDEX('Risk Register'!$B$7:$B$206,84),"")</f>
        <v>0</v>
      </c>
    </row>
    <row r="92" spans="2:46">
      <c r="B92" s="55"/>
      <c r="C92" s="62"/>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S92" s="10">
        <f>IFERROR(INDEX('Risk Register'!$A$7:$A$206,85),"")</f>
        <v>85</v>
      </c>
      <c r="AT92" s="10">
        <f>IFERROR(INDEX('Risk Register'!$B$7:$B$206,85),"")</f>
        <v>0</v>
      </c>
    </row>
    <row r="93" spans="2:46">
      <c r="B93" s="55"/>
      <c r="C93" s="62"/>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S93" s="10">
        <f>IFERROR(INDEX('Risk Register'!$A$7:$A$206,86),"")</f>
        <v>86</v>
      </c>
      <c r="AT93" s="10">
        <f>IFERROR(INDEX('Risk Register'!$B$7:$B$206,86),"")</f>
        <v>0</v>
      </c>
    </row>
    <row r="94" spans="2:46">
      <c r="B94" s="55"/>
      <c r="C94" s="62"/>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S94" s="10">
        <f>IFERROR(INDEX('Risk Register'!$A$7:$A$206,87),"")</f>
        <v>87</v>
      </c>
      <c r="AT94" s="10">
        <f>IFERROR(INDEX('Risk Register'!$B$7:$B$206,87),"")</f>
        <v>0</v>
      </c>
    </row>
    <row r="95" spans="2:46">
      <c r="B95" s="55"/>
      <c r="C95" s="62"/>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S95" s="10">
        <f>IFERROR(INDEX('Risk Register'!$A$7:$A$206,88),"")</f>
        <v>88</v>
      </c>
      <c r="AT95" s="10">
        <f>IFERROR(INDEX('Risk Register'!$B$7:$B$206,88),"")</f>
        <v>0</v>
      </c>
    </row>
    <row r="96" spans="2:46">
      <c r="B96" s="55"/>
      <c r="C96" s="62"/>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S96" s="10">
        <f>IFERROR(INDEX('Risk Register'!$A$7:$A$206,89),"")</f>
        <v>89</v>
      </c>
      <c r="AT96" s="10">
        <f>IFERROR(INDEX('Risk Register'!$B$7:$B$206,89),"")</f>
        <v>0</v>
      </c>
    </row>
    <row r="97" spans="2:46">
      <c r="B97" s="55"/>
      <c r="C97" s="62"/>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S97" s="10">
        <f>IFERROR(INDEX('Risk Register'!$A$7:$A$206,90),"")</f>
        <v>90</v>
      </c>
      <c r="AT97" s="10">
        <f>IFERROR(INDEX('Risk Register'!$B$7:$B$206,90),"")</f>
        <v>0</v>
      </c>
    </row>
    <row r="98" spans="2:46">
      <c r="B98" s="55"/>
      <c r="C98" s="62"/>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S98" s="10">
        <f>IFERROR(INDEX('Risk Register'!$A$7:$A$206,91),"")</f>
        <v>91</v>
      </c>
      <c r="AT98" s="10">
        <f>IFERROR(INDEX('Risk Register'!$B$7:$B$206,91),"")</f>
        <v>0</v>
      </c>
    </row>
    <row r="99" spans="2:46">
      <c r="B99" s="55"/>
      <c r="C99" s="62"/>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S99" s="10">
        <f>IFERROR(INDEX('Risk Register'!$A$7:$A$206,92),"")</f>
        <v>92</v>
      </c>
      <c r="AT99" s="10">
        <f>IFERROR(INDEX('Risk Register'!$B$7:$B$206,92),"")</f>
        <v>0</v>
      </c>
    </row>
    <row r="100" spans="2:46">
      <c r="B100" s="55"/>
      <c r="C100" s="62"/>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S100" s="10">
        <f>IFERROR(INDEX('Risk Register'!$A$7:$A$206,93),"")</f>
        <v>93</v>
      </c>
      <c r="AT100" s="10">
        <f>IFERROR(INDEX('Risk Register'!$B$7:$B$206,93),"")</f>
        <v>0</v>
      </c>
    </row>
    <row r="101" spans="2:46">
      <c r="B101" s="55"/>
      <c r="C101" s="62"/>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S101" s="10">
        <f>IFERROR(INDEX('Risk Register'!$A$7:$A$206,94),"")</f>
        <v>94</v>
      </c>
      <c r="AT101" s="10">
        <f>IFERROR(INDEX('Risk Register'!$B$7:$B$206,94),"")</f>
        <v>0</v>
      </c>
    </row>
    <row r="102" spans="2:46">
      <c r="B102" s="55"/>
      <c r="C102" s="62"/>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S102" s="10">
        <f>IFERROR(INDEX('Risk Register'!$A$7:$A$206,95),"")</f>
        <v>95</v>
      </c>
      <c r="AT102" s="10">
        <f>IFERROR(INDEX('Risk Register'!$B$7:$B$206,95),"")</f>
        <v>0</v>
      </c>
    </row>
    <row r="103" spans="2:46">
      <c r="B103" s="55"/>
      <c r="C103" s="62"/>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S103" s="10">
        <f>IFERROR(INDEX('Risk Register'!$A$7:$A$206,96),"")</f>
        <v>96</v>
      </c>
      <c r="AT103" s="10">
        <f>IFERROR(INDEX('Risk Register'!$B$7:$B$206,96),"")</f>
        <v>0</v>
      </c>
    </row>
    <row r="104" spans="2:46">
      <c r="B104" s="55"/>
      <c r="C104" s="62"/>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S104" s="10">
        <f>IFERROR(INDEX('Risk Register'!$A$7:$A$206,97),"")</f>
        <v>97</v>
      </c>
      <c r="AT104" s="10">
        <f>IFERROR(INDEX('Risk Register'!$B$7:$B$206,97),"")</f>
        <v>0</v>
      </c>
    </row>
    <row r="105" spans="2:46">
      <c r="AS105" s="10">
        <f>IFERROR(INDEX('Risk Register'!$A$7:$A$206,98),"")</f>
        <v>98</v>
      </c>
      <c r="AT105" s="10">
        <f>IFERROR(INDEX('Risk Register'!$B$7:$B$206,98),"")</f>
        <v>0</v>
      </c>
    </row>
    <row r="106" spans="2:46">
      <c r="AS106" s="10">
        <f>IFERROR(INDEX('Risk Register'!$A$7:$A$206,99),"")</f>
        <v>99</v>
      </c>
      <c r="AT106" s="10">
        <f>IFERROR(INDEX('Risk Register'!$B$7:$B$206,99),"")</f>
        <v>0</v>
      </c>
    </row>
    <row r="107" spans="2:46">
      <c r="AS107" s="10">
        <f>IFERROR(INDEX('Risk Register'!$A$7:$A$206,100),"")</f>
        <v>100</v>
      </c>
      <c r="AT107" s="10">
        <f>IFERROR(INDEX('Risk Register'!$B$7:$B$206,100),"")</f>
        <v>0</v>
      </c>
    </row>
    <row r="108" spans="2:46">
      <c r="AS108">
        <f>IFERROR(INDEX('Risk Register'!$A$7:$A$206,101),"")</f>
        <v>0</v>
      </c>
      <c r="AT108">
        <f>IFERROR(INDEX('Risk Register'!$B$7:$B$206,101),"")</f>
        <v>0</v>
      </c>
    </row>
    <row r="109" spans="2:46">
      <c r="AS109">
        <f>IFERROR(INDEX('Risk Register'!$A$7:$A$206,102),"")</f>
        <v>0</v>
      </c>
      <c r="AT109">
        <f>IFERROR(INDEX('Risk Register'!$B$7:$B$206,102),"")</f>
        <v>0</v>
      </c>
    </row>
    <row r="110" spans="2:46">
      <c r="AS110">
        <f>IFERROR(INDEX('Risk Register'!$A$7:$A$206,103),"")</f>
        <v>0</v>
      </c>
      <c r="AT110">
        <f>IFERROR(INDEX('Risk Register'!$B$7:$B$206,103),"")</f>
        <v>0</v>
      </c>
    </row>
    <row r="111" spans="2:46">
      <c r="AS111">
        <f>IFERROR(INDEX('Risk Register'!$A$7:$A$206,104),"")</f>
        <v>0</v>
      </c>
      <c r="AT111">
        <f>IFERROR(INDEX('Risk Register'!$B$7:$B$206,104),"")</f>
        <v>0</v>
      </c>
    </row>
    <row r="112" spans="2:46">
      <c r="AS112">
        <f>IFERROR(INDEX('Risk Register'!$A$7:$A$206,105),"")</f>
        <v>0</v>
      </c>
      <c r="AT112">
        <f>IFERROR(INDEX('Risk Register'!$B$7:$B$206,105),"")</f>
        <v>0</v>
      </c>
    </row>
    <row r="113" spans="45:46">
      <c r="AS113">
        <f>IFERROR(INDEX('Risk Register'!$A$7:$A$206,106),"")</f>
        <v>0</v>
      </c>
      <c r="AT113">
        <f>IFERROR(INDEX('Risk Register'!$B$7:$B$206,106),"")</f>
        <v>0</v>
      </c>
    </row>
    <row r="114" spans="45:46">
      <c r="AS114">
        <f>IFERROR(INDEX('Risk Register'!$A$7:$A$206,107),"")</f>
        <v>0</v>
      </c>
      <c r="AT114">
        <f>IFERROR(INDEX('Risk Register'!$B$7:$B$206,107),"")</f>
        <v>0</v>
      </c>
    </row>
    <row r="115" spans="45:46">
      <c r="AS115">
        <f>IFERROR(INDEX('Risk Register'!$A$7:$A$206,108),"")</f>
        <v>0</v>
      </c>
      <c r="AT115">
        <f>IFERROR(INDEX('Risk Register'!$B$7:$B$206,108),"")</f>
        <v>0</v>
      </c>
    </row>
    <row r="116" spans="45:46">
      <c r="AS116">
        <f>IFERROR(INDEX('Risk Register'!$A$7:$A$206,109),"")</f>
        <v>0</v>
      </c>
      <c r="AT116">
        <f>IFERROR(INDEX('Risk Register'!$B$7:$B$206,109),"")</f>
        <v>0</v>
      </c>
    </row>
    <row r="117" spans="45:46">
      <c r="AS117">
        <f>IFERROR(INDEX('Risk Register'!$A$7:$A$206,110),"")</f>
        <v>0</v>
      </c>
      <c r="AT117">
        <f>IFERROR(INDEX('Risk Register'!$B$7:$B$206,110),"")</f>
        <v>0</v>
      </c>
    </row>
    <row r="118" spans="45:46">
      <c r="AS118">
        <f>IFERROR(INDEX('Risk Register'!$A$7:$A$206,111),"")</f>
        <v>0</v>
      </c>
      <c r="AT118">
        <f>IFERROR(INDEX('Risk Register'!$B$7:$B$206,111),"")</f>
        <v>0</v>
      </c>
    </row>
    <row r="119" spans="45:46">
      <c r="AS119">
        <f>IFERROR(INDEX('Risk Register'!$A$7:$A$206,112),"")</f>
        <v>0</v>
      </c>
      <c r="AT119">
        <f>IFERROR(INDEX('Risk Register'!$B$7:$B$206,112),"")</f>
        <v>0</v>
      </c>
    </row>
    <row r="120" spans="45:46">
      <c r="AS120">
        <f>IFERROR(INDEX('Risk Register'!$A$7:$A$206,113),"")</f>
        <v>0</v>
      </c>
      <c r="AT120">
        <f>IFERROR(INDEX('Risk Register'!$B$7:$B$206,113),"")</f>
        <v>0</v>
      </c>
    </row>
    <row r="121" spans="45:46">
      <c r="AS121">
        <f>IFERROR(INDEX('Risk Register'!$A$7:$A$206,114),"")</f>
        <v>0</v>
      </c>
      <c r="AT121">
        <f>IFERROR(INDEX('Risk Register'!$B$7:$B$206,114),"")</f>
        <v>0</v>
      </c>
    </row>
    <row r="122" spans="45:46">
      <c r="AS122">
        <f>IFERROR(INDEX('Risk Register'!$A$7:$A$206,115),"")</f>
        <v>0</v>
      </c>
      <c r="AT122">
        <f>IFERROR(INDEX('Risk Register'!$B$7:$B$206,115),"")</f>
        <v>0</v>
      </c>
    </row>
    <row r="123" spans="45:46">
      <c r="AS123">
        <f>IFERROR(INDEX('Risk Register'!$A$7:$A$206,116),"")</f>
        <v>0</v>
      </c>
      <c r="AT123">
        <f>IFERROR(INDEX('Risk Register'!$B$7:$B$206,116),"")</f>
        <v>0</v>
      </c>
    </row>
    <row r="124" spans="45:46">
      <c r="AS124">
        <f>IFERROR(INDEX('Risk Register'!$A$7:$A$206,117),"")</f>
        <v>0</v>
      </c>
      <c r="AT124">
        <f>IFERROR(INDEX('Risk Register'!$B$7:$B$206,117),"")</f>
        <v>0</v>
      </c>
    </row>
    <row r="125" spans="45:46">
      <c r="AS125">
        <f>IFERROR(INDEX('Risk Register'!$A$7:$A$206,118),"")</f>
        <v>0</v>
      </c>
      <c r="AT125">
        <f>IFERROR(INDEX('Risk Register'!$B$7:$B$206,118),"")</f>
        <v>0</v>
      </c>
    </row>
    <row r="126" spans="45:46">
      <c r="AS126">
        <f>IFERROR(INDEX('Risk Register'!$A$7:$A$206,119),"")</f>
        <v>0</v>
      </c>
      <c r="AT126">
        <f>IFERROR(INDEX('Risk Register'!$B$7:$B$206,119),"")</f>
        <v>0</v>
      </c>
    </row>
    <row r="127" spans="45:46">
      <c r="AS127">
        <f>IFERROR(INDEX('Risk Register'!$A$7:$A$206,120),"")</f>
        <v>0</v>
      </c>
      <c r="AT127">
        <f>IFERROR(INDEX('Risk Register'!$B$7:$B$206,120),"")</f>
        <v>0</v>
      </c>
    </row>
    <row r="128" spans="45:46">
      <c r="AS128">
        <f>IFERROR(INDEX('Risk Register'!$A$7:$A$206,121),"")</f>
        <v>0</v>
      </c>
      <c r="AT128">
        <f>IFERROR(INDEX('Risk Register'!$B$7:$B$206,121),"")</f>
        <v>0</v>
      </c>
    </row>
    <row r="129" spans="45:46">
      <c r="AS129">
        <f>IFERROR(INDEX('Risk Register'!$A$7:$A$206,122),"")</f>
        <v>0</v>
      </c>
      <c r="AT129">
        <f>IFERROR(INDEX('Risk Register'!$B$7:$B$206,122),"")</f>
        <v>0</v>
      </c>
    </row>
    <row r="130" spans="45:46">
      <c r="AS130">
        <f>IFERROR(INDEX('Risk Register'!$A$7:$A$206,123),"")</f>
        <v>0</v>
      </c>
      <c r="AT130">
        <f>IFERROR(INDEX('Risk Register'!$B$7:$B$206,123),"")</f>
        <v>0</v>
      </c>
    </row>
    <row r="131" spans="45:46">
      <c r="AS131">
        <f>IFERROR(INDEX('Risk Register'!$A$7:$A$206,124),"")</f>
        <v>0</v>
      </c>
      <c r="AT131">
        <f>IFERROR(INDEX('Risk Register'!$B$7:$B$206,124),"")</f>
        <v>0</v>
      </c>
    </row>
    <row r="132" spans="45:46">
      <c r="AS132">
        <f>IFERROR(INDEX('Risk Register'!$A$7:$A$206,125),"")</f>
        <v>0</v>
      </c>
      <c r="AT132">
        <f>IFERROR(INDEX('Risk Register'!$B$7:$B$206,125),"")</f>
        <v>0</v>
      </c>
    </row>
    <row r="133" spans="45:46">
      <c r="AS133">
        <f>IFERROR(INDEX('Risk Register'!$A$7:$A$206,126),"")</f>
        <v>0</v>
      </c>
      <c r="AT133">
        <f>IFERROR(INDEX('Risk Register'!$B$7:$B$206,126),"")</f>
        <v>0</v>
      </c>
    </row>
    <row r="134" spans="45:46">
      <c r="AS134">
        <f>IFERROR(INDEX('Risk Register'!$A$7:$A$206,127),"")</f>
        <v>0</v>
      </c>
      <c r="AT134">
        <f>IFERROR(INDEX('Risk Register'!$B$7:$B$206,127),"")</f>
        <v>0</v>
      </c>
    </row>
    <row r="135" spans="45:46">
      <c r="AS135">
        <f>IFERROR(INDEX('Risk Register'!$A$7:$A$206,128),"")</f>
        <v>0</v>
      </c>
      <c r="AT135">
        <f>IFERROR(INDEX('Risk Register'!$B$7:$B$206,128),"")</f>
        <v>0</v>
      </c>
    </row>
    <row r="136" spans="45:46">
      <c r="AS136">
        <f>IFERROR(INDEX('Risk Register'!$A$7:$A$206,129),"")</f>
        <v>0</v>
      </c>
      <c r="AT136">
        <f>IFERROR(INDEX('Risk Register'!$B$7:$B$206,129),"")</f>
        <v>0</v>
      </c>
    </row>
    <row r="137" spans="45:46">
      <c r="AS137">
        <f>IFERROR(INDEX('Risk Register'!$A$7:$A$206,130),"")</f>
        <v>0</v>
      </c>
      <c r="AT137">
        <f>IFERROR(INDEX('Risk Register'!$B$7:$B$206,130),"")</f>
        <v>0</v>
      </c>
    </row>
    <row r="138" spans="45:46">
      <c r="AS138">
        <f>IFERROR(INDEX('Risk Register'!$A$7:$A$206,131),"")</f>
        <v>0</v>
      </c>
      <c r="AT138">
        <f>IFERROR(INDEX('Risk Register'!$B$7:$B$206,131),"")</f>
        <v>0</v>
      </c>
    </row>
    <row r="139" spans="45:46">
      <c r="AS139">
        <f>IFERROR(INDEX('Risk Register'!$A$7:$A$206,132),"")</f>
        <v>0</v>
      </c>
      <c r="AT139">
        <f>IFERROR(INDEX('Risk Register'!$B$7:$B$206,132),"")</f>
        <v>0</v>
      </c>
    </row>
    <row r="140" spans="45:46">
      <c r="AS140">
        <f>IFERROR(INDEX('Risk Register'!$A$7:$A$206,133),"")</f>
        <v>0</v>
      </c>
      <c r="AT140">
        <f>IFERROR(INDEX('Risk Register'!$B$7:$B$206,133),"")</f>
        <v>0</v>
      </c>
    </row>
    <row r="141" spans="45:46">
      <c r="AS141">
        <f>IFERROR(INDEX('Risk Register'!$A$7:$A$206,134),"")</f>
        <v>0</v>
      </c>
      <c r="AT141">
        <f>IFERROR(INDEX('Risk Register'!$B$7:$B$206,134),"")</f>
        <v>0</v>
      </c>
    </row>
    <row r="142" spans="45:46">
      <c r="AS142">
        <f>IFERROR(INDEX('Risk Register'!$A$7:$A$206,135),"")</f>
        <v>0</v>
      </c>
      <c r="AT142">
        <f>IFERROR(INDEX('Risk Register'!$B$7:$B$206,135),"")</f>
        <v>0</v>
      </c>
    </row>
    <row r="143" spans="45:46">
      <c r="AS143">
        <f>IFERROR(INDEX('Risk Register'!$A$7:$A$206,136),"")</f>
        <v>0</v>
      </c>
      <c r="AT143">
        <f>IFERROR(INDEX('Risk Register'!$B$7:$B$206,136),"")</f>
        <v>0</v>
      </c>
    </row>
    <row r="144" spans="45:46">
      <c r="AS144">
        <f>IFERROR(INDEX('Risk Register'!$A$7:$A$206,137),"")</f>
        <v>0</v>
      </c>
      <c r="AT144">
        <f>IFERROR(INDEX('Risk Register'!$B$7:$B$206,137),"")</f>
        <v>0</v>
      </c>
    </row>
    <row r="145" spans="2:46">
      <c r="AS145">
        <f>IFERROR(INDEX('Risk Register'!$A$7:$A$206,138),"")</f>
        <v>0</v>
      </c>
      <c r="AT145">
        <f>IFERROR(INDEX('Risk Register'!$B$7:$B$206,138),"")</f>
        <v>0</v>
      </c>
    </row>
    <row r="146" spans="2:46">
      <c r="AS146">
        <f>IFERROR(INDEX('Risk Register'!$A$7:$A$206,139),"")</f>
        <v>0</v>
      </c>
      <c r="AT146">
        <f>IFERROR(INDEX('Risk Register'!$B$7:$B$206,139),"")</f>
        <v>0</v>
      </c>
    </row>
    <row r="147" spans="2:46">
      <c r="AS147">
        <f>IFERROR(INDEX('Risk Register'!$A$7:$A$206,140),"")</f>
        <v>0</v>
      </c>
      <c r="AT147">
        <f>IFERROR(INDEX('Risk Register'!$B$7:$B$206,140),"")</f>
        <v>0</v>
      </c>
    </row>
    <row r="148" spans="2:46" ht="18">
      <c r="D148" s="59" t="s">
        <v>176</v>
      </c>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S148">
        <f>IFERROR(INDEX('Risk Register'!$A$7:$A$206,141),"")</f>
        <v>0</v>
      </c>
      <c r="AT148">
        <f>IFERROR(INDEX('Risk Register'!$B$7:$B$206,141),"")</f>
        <v>0</v>
      </c>
    </row>
    <row r="149" spans="2:46" ht="18">
      <c r="D149" s="60" t="s">
        <v>172</v>
      </c>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S149">
        <f>IFERROR(INDEX('Risk Register'!$A$7:$A$206,142),"")</f>
        <v>0</v>
      </c>
      <c r="AT149">
        <f>IFERROR(INDEX('Risk Register'!$B$7:$B$206,142),"")</f>
        <v>0</v>
      </c>
    </row>
    <row r="150" spans="2:46" ht="15.75">
      <c r="D150" s="61">
        <v>1</v>
      </c>
      <c r="E150" s="61"/>
      <c r="F150" s="61"/>
      <c r="G150" s="61"/>
      <c r="H150" s="61"/>
      <c r="I150" s="61">
        <v>2</v>
      </c>
      <c r="J150" s="61"/>
      <c r="K150" s="61"/>
      <c r="L150" s="61"/>
      <c r="M150" s="61"/>
      <c r="N150" s="58">
        <v>3</v>
      </c>
      <c r="O150" s="58"/>
      <c r="P150" s="58"/>
      <c r="Q150" s="58"/>
      <c r="R150" s="58"/>
      <c r="S150" s="58">
        <v>4</v>
      </c>
      <c r="T150" s="58"/>
      <c r="U150" s="58"/>
      <c r="V150" s="58"/>
      <c r="W150" s="58"/>
      <c r="X150" s="58">
        <v>5</v>
      </c>
      <c r="Y150" s="58"/>
      <c r="Z150" s="58"/>
      <c r="AA150" s="58"/>
      <c r="AB150" s="58"/>
      <c r="AC150" s="58">
        <v>6</v>
      </c>
      <c r="AD150" s="58"/>
      <c r="AE150" s="58"/>
      <c r="AF150" s="58"/>
      <c r="AG150" s="58"/>
      <c r="AH150" s="58">
        <v>7</v>
      </c>
      <c r="AI150" s="58"/>
      <c r="AJ150" s="58"/>
      <c r="AK150" s="58"/>
      <c r="AL150" s="58"/>
      <c r="AM150" s="58">
        <v>8</v>
      </c>
      <c r="AN150" s="58"/>
      <c r="AO150" s="58"/>
      <c r="AP150" s="58"/>
      <c r="AQ150" s="58"/>
      <c r="AS150">
        <f>IFERROR(INDEX('Risk Register'!$A$7:$A$206,143),"")</f>
        <v>0</v>
      </c>
      <c r="AT150">
        <f>IFERROR(INDEX('Risk Register'!$B$7:$B$206,143),"")</f>
        <v>0</v>
      </c>
    </row>
    <row r="151" spans="2:46">
      <c r="B151" s="56" t="s">
        <v>173</v>
      </c>
      <c r="C151" s="57" t="s">
        <v>28</v>
      </c>
      <c r="D151" s="13" t="s">
        <v>174</v>
      </c>
      <c r="E151" s="14" t="s">
        <v>174</v>
      </c>
      <c r="F151" s="14" t="s">
        <v>174</v>
      </c>
      <c r="G151" s="14" t="s">
        <v>174</v>
      </c>
      <c r="H151" s="15" t="s">
        <v>174</v>
      </c>
      <c r="I151" s="11" t="s">
        <v>174</v>
      </c>
      <c r="J151" s="11" t="s">
        <v>174</v>
      </c>
      <c r="K151" s="11" t="s">
        <v>174</v>
      </c>
      <c r="L151" s="11" t="s">
        <v>174</v>
      </c>
      <c r="M151" s="11" t="s">
        <v>174</v>
      </c>
      <c r="N151" s="31" t="s">
        <v>174</v>
      </c>
      <c r="O151" s="32" t="s">
        <v>174</v>
      </c>
      <c r="P151" s="32" t="s">
        <v>174</v>
      </c>
      <c r="Q151" s="32" t="s">
        <v>174</v>
      </c>
      <c r="R151" s="33" t="s">
        <v>174</v>
      </c>
      <c r="S151" s="31" t="s">
        <v>174</v>
      </c>
      <c r="T151" s="32" t="s">
        <v>174</v>
      </c>
      <c r="U151" s="32" t="s">
        <v>174</v>
      </c>
      <c r="V151" s="32" t="s">
        <v>174</v>
      </c>
      <c r="W151" s="33" t="s">
        <v>174</v>
      </c>
      <c r="X151" s="31" t="s">
        <v>174</v>
      </c>
      <c r="Y151" s="32" t="s">
        <v>174</v>
      </c>
      <c r="Z151" s="32" t="s">
        <v>174</v>
      </c>
      <c r="AA151" s="32" t="s">
        <v>174</v>
      </c>
      <c r="AB151" s="33" t="s">
        <v>174</v>
      </c>
      <c r="AC151" s="31" t="s">
        <v>174</v>
      </c>
      <c r="AD151" s="32" t="s">
        <v>174</v>
      </c>
      <c r="AE151" s="32" t="s">
        <v>174</v>
      </c>
      <c r="AF151" s="32" t="s">
        <v>174</v>
      </c>
      <c r="AG151" s="33" t="s">
        <v>174</v>
      </c>
      <c r="AH151" s="31" t="s">
        <v>174</v>
      </c>
      <c r="AI151" s="32" t="s">
        <v>174</v>
      </c>
      <c r="AJ151" s="32" t="s">
        <v>174</v>
      </c>
      <c r="AK151" s="32" t="s">
        <v>174</v>
      </c>
      <c r="AL151" s="33" t="s">
        <v>174</v>
      </c>
      <c r="AM151" s="31" t="s">
        <v>174</v>
      </c>
      <c r="AN151" s="32" t="s">
        <v>174</v>
      </c>
      <c r="AO151" s="32" t="s">
        <v>174</v>
      </c>
      <c r="AP151" s="32" t="s">
        <v>174</v>
      </c>
      <c r="AQ151" s="33" t="s">
        <v>174</v>
      </c>
      <c r="AS151">
        <f>IFERROR(INDEX('Risk Register'!$A$7:$A$206,144),"")</f>
        <v>0</v>
      </c>
      <c r="AT151">
        <f>IFERROR(INDEX('Risk Register'!$B$7:$B$206,144),"")</f>
        <v>0</v>
      </c>
    </row>
    <row r="152" spans="2:46">
      <c r="B152" s="56"/>
      <c r="C152" s="57"/>
      <c r="D152" s="16" t="s">
        <v>174</v>
      </c>
      <c r="E152" s="12" t="s">
        <v>174</v>
      </c>
      <c r="F152" s="12" t="s">
        <v>174</v>
      </c>
      <c r="G152" s="12" t="s">
        <v>174</v>
      </c>
      <c r="H152" s="17" t="s">
        <v>174</v>
      </c>
      <c r="I152" s="11" t="s">
        <v>174</v>
      </c>
      <c r="J152" s="11" t="s">
        <v>174</v>
      </c>
      <c r="K152" s="11" t="s">
        <v>174</v>
      </c>
      <c r="L152" s="11" t="s">
        <v>174</v>
      </c>
      <c r="M152" s="11" t="s">
        <v>174</v>
      </c>
      <c r="N152" s="34" t="s">
        <v>174</v>
      </c>
      <c r="O152" s="11" t="s">
        <v>174</v>
      </c>
      <c r="P152" s="11" t="s">
        <v>174</v>
      </c>
      <c r="Q152" s="11" t="s">
        <v>174</v>
      </c>
      <c r="R152" s="35" t="s">
        <v>174</v>
      </c>
      <c r="S152" s="34" t="s">
        <v>174</v>
      </c>
      <c r="T152" s="11" t="s">
        <v>174</v>
      </c>
      <c r="U152" s="11" t="s">
        <v>174</v>
      </c>
      <c r="V152" s="11" t="s">
        <v>174</v>
      </c>
      <c r="W152" s="35" t="s">
        <v>174</v>
      </c>
      <c r="X152" s="34" t="s">
        <v>174</v>
      </c>
      <c r="Y152" s="11" t="s">
        <v>174</v>
      </c>
      <c r="Z152" s="11" t="s">
        <v>174</v>
      </c>
      <c r="AA152" s="11" t="s">
        <v>174</v>
      </c>
      <c r="AB152" s="35" t="s">
        <v>174</v>
      </c>
      <c r="AC152" s="34" t="s">
        <v>174</v>
      </c>
      <c r="AD152" s="11" t="s">
        <v>174</v>
      </c>
      <c r="AE152" s="11" t="s">
        <v>174</v>
      </c>
      <c r="AF152" s="11" t="s">
        <v>174</v>
      </c>
      <c r="AG152" s="35" t="s">
        <v>174</v>
      </c>
      <c r="AH152" s="34" t="s">
        <v>174</v>
      </c>
      <c r="AI152" s="11" t="s">
        <v>174</v>
      </c>
      <c r="AJ152" s="11" t="s">
        <v>174</v>
      </c>
      <c r="AK152" s="11" t="s">
        <v>174</v>
      </c>
      <c r="AL152" s="35" t="s">
        <v>174</v>
      </c>
      <c r="AM152" s="34" t="s">
        <v>174</v>
      </c>
      <c r="AN152" s="11" t="s">
        <v>174</v>
      </c>
      <c r="AO152" s="11" t="s">
        <v>174</v>
      </c>
      <c r="AP152" s="11" t="s">
        <v>174</v>
      </c>
      <c r="AQ152" s="35" t="s">
        <v>174</v>
      </c>
      <c r="AS152">
        <f>IFERROR(INDEX('Risk Register'!$A$7:$A$206,145),"")</f>
        <v>0</v>
      </c>
      <c r="AT152">
        <f>IFERROR(INDEX('Risk Register'!$B$7:$B$206,145),"")</f>
        <v>0</v>
      </c>
    </row>
    <row r="153" spans="2:46">
      <c r="B153" s="56"/>
      <c r="C153" s="57"/>
      <c r="D153" s="16" t="s">
        <v>174</v>
      </c>
      <c r="E153" s="12" t="s">
        <v>174</v>
      </c>
      <c r="F153" s="12" t="s">
        <v>174</v>
      </c>
      <c r="G153" s="12" t="s">
        <v>174</v>
      </c>
      <c r="H153" s="17" t="s">
        <v>174</v>
      </c>
      <c r="I153" s="11" t="s">
        <v>174</v>
      </c>
      <c r="J153" s="11" t="s">
        <v>174</v>
      </c>
      <c r="K153" s="11" t="s">
        <v>174</v>
      </c>
      <c r="L153" s="11" t="s">
        <v>174</v>
      </c>
      <c r="M153" s="11" t="s">
        <v>174</v>
      </c>
      <c r="N153" s="34" t="s">
        <v>174</v>
      </c>
      <c r="O153" s="11" t="s">
        <v>174</v>
      </c>
      <c r="P153" s="11" t="s">
        <v>174</v>
      </c>
      <c r="Q153" s="11" t="s">
        <v>174</v>
      </c>
      <c r="R153" s="35" t="s">
        <v>174</v>
      </c>
      <c r="S153" s="34" t="s">
        <v>174</v>
      </c>
      <c r="T153" s="11" t="s">
        <v>174</v>
      </c>
      <c r="U153" s="11" t="s">
        <v>174</v>
      </c>
      <c r="V153" s="11" t="s">
        <v>174</v>
      </c>
      <c r="W153" s="35" t="s">
        <v>174</v>
      </c>
      <c r="X153" s="34" t="s">
        <v>174</v>
      </c>
      <c r="Y153" s="11" t="s">
        <v>174</v>
      </c>
      <c r="Z153" s="11" t="s">
        <v>174</v>
      </c>
      <c r="AA153" s="11" t="s">
        <v>174</v>
      </c>
      <c r="AB153" s="35" t="s">
        <v>174</v>
      </c>
      <c r="AC153" s="34" t="s">
        <v>174</v>
      </c>
      <c r="AD153" s="11" t="s">
        <v>174</v>
      </c>
      <c r="AE153" s="11" t="s">
        <v>174</v>
      </c>
      <c r="AF153" s="11" t="s">
        <v>174</v>
      </c>
      <c r="AG153" s="35" t="s">
        <v>174</v>
      </c>
      <c r="AH153" s="34" t="s">
        <v>174</v>
      </c>
      <c r="AI153" s="11" t="s">
        <v>174</v>
      </c>
      <c r="AJ153" s="11" t="s">
        <v>174</v>
      </c>
      <c r="AK153" s="11" t="s">
        <v>174</v>
      </c>
      <c r="AL153" s="35" t="s">
        <v>174</v>
      </c>
      <c r="AM153" s="34" t="s">
        <v>174</v>
      </c>
      <c r="AN153" s="11" t="s">
        <v>174</v>
      </c>
      <c r="AO153" s="11" t="s">
        <v>174</v>
      </c>
      <c r="AP153" s="11" t="s">
        <v>174</v>
      </c>
      <c r="AQ153" s="35" t="s">
        <v>174</v>
      </c>
      <c r="AS153">
        <f>IFERROR(INDEX('Risk Register'!$A$7:$A$206,146),"")</f>
        <v>0</v>
      </c>
      <c r="AT153">
        <f>IFERROR(INDEX('Risk Register'!$B$7:$B$206,146),"")</f>
        <v>0</v>
      </c>
    </row>
    <row r="154" spans="2:46">
      <c r="B154" s="56"/>
      <c r="C154" s="57"/>
      <c r="D154" s="16"/>
      <c r="E154" s="12"/>
      <c r="F154" s="12"/>
      <c r="G154" s="12"/>
      <c r="H154" s="17"/>
      <c r="I154" s="11"/>
      <c r="J154" s="11"/>
      <c r="K154" s="11"/>
      <c r="L154" s="11"/>
      <c r="M154" s="11"/>
      <c r="N154" s="34"/>
      <c r="O154" s="11"/>
      <c r="P154" s="11"/>
      <c r="Q154" s="11"/>
      <c r="R154" s="35"/>
      <c r="S154" s="34"/>
      <c r="T154" s="11"/>
      <c r="U154" s="11"/>
      <c r="V154" s="11"/>
      <c r="W154" s="35"/>
      <c r="X154" s="34"/>
      <c r="Y154" s="11"/>
      <c r="Z154" s="11"/>
      <c r="AA154" s="11"/>
      <c r="AB154" s="35" t="s">
        <v>174</v>
      </c>
      <c r="AC154" s="34" t="s">
        <v>174</v>
      </c>
      <c r="AD154" s="11" t="s">
        <v>174</v>
      </c>
      <c r="AE154" s="11" t="s">
        <v>174</v>
      </c>
      <c r="AF154" s="11" t="s">
        <v>174</v>
      </c>
      <c r="AG154" s="35" t="s">
        <v>174</v>
      </c>
      <c r="AH154" s="34" t="s">
        <v>174</v>
      </c>
      <c r="AI154" s="11" t="s">
        <v>174</v>
      </c>
      <c r="AJ154" s="11" t="s">
        <v>174</v>
      </c>
      <c r="AK154" s="11" t="s">
        <v>174</v>
      </c>
      <c r="AL154" s="35" t="s">
        <v>174</v>
      </c>
      <c r="AM154" s="34" t="s">
        <v>174</v>
      </c>
      <c r="AN154" s="11" t="s">
        <v>174</v>
      </c>
      <c r="AO154" s="11" t="s">
        <v>174</v>
      </c>
      <c r="AP154" s="11" t="s">
        <v>174</v>
      </c>
      <c r="AQ154" s="35" t="s">
        <v>174</v>
      </c>
      <c r="AS154">
        <f>IFERROR(INDEX('Risk Register'!$A$7:$A$206,147),"")</f>
        <v>0</v>
      </c>
      <c r="AT154">
        <f>IFERROR(INDEX('Risk Register'!$B$7:$B$206,147),"")</f>
        <v>0</v>
      </c>
    </row>
    <row r="155" spans="2:46">
      <c r="B155" s="56"/>
      <c r="C155" s="57"/>
      <c r="D155" s="18"/>
      <c r="E155" s="19"/>
      <c r="F155" s="19"/>
      <c r="G155" s="19"/>
      <c r="H155" s="20"/>
      <c r="I155" s="11"/>
      <c r="J155" s="11"/>
      <c r="K155" s="11"/>
      <c r="L155" s="11"/>
      <c r="M155" s="11"/>
      <c r="N155" s="36"/>
      <c r="O155" s="37"/>
      <c r="P155" s="37"/>
      <c r="Q155" s="37"/>
      <c r="R155" s="38"/>
      <c r="S155" s="36"/>
      <c r="T155" s="37"/>
      <c r="U155" s="37"/>
      <c r="V155" s="37"/>
      <c r="W155" s="38"/>
      <c r="X155" s="36"/>
      <c r="Y155" s="37"/>
      <c r="Z155" s="37"/>
      <c r="AA155" s="37"/>
      <c r="AB155" s="38" t="s">
        <v>174</v>
      </c>
      <c r="AC155" s="36" t="s">
        <v>174</v>
      </c>
      <c r="AD155" s="37" t="s">
        <v>174</v>
      </c>
      <c r="AE155" s="37" t="s">
        <v>174</v>
      </c>
      <c r="AF155" s="37" t="s">
        <v>174</v>
      </c>
      <c r="AG155" s="38" t="s">
        <v>174</v>
      </c>
      <c r="AH155" s="36" t="s">
        <v>174</v>
      </c>
      <c r="AI155" s="37" t="s">
        <v>174</v>
      </c>
      <c r="AJ155" s="37" t="s">
        <v>174</v>
      </c>
      <c r="AK155" s="37" t="s">
        <v>174</v>
      </c>
      <c r="AL155" s="38" t="s">
        <v>174</v>
      </c>
      <c r="AM155" s="36" t="s">
        <v>174</v>
      </c>
      <c r="AN155" s="37" t="s">
        <v>174</v>
      </c>
      <c r="AO155" s="37" t="s">
        <v>174</v>
      </c>
      <c r="AP155" s="37" t="s">
        <v>174</v>
      </c>
      <c r="AQ155" s="38" t="s">
        <v>174</v>
      </c>
      <c r="AS155">
        <f>IFERROR(INDEX('Risk Register'!$A$7:$A$206,148),"")</f>
        <v>0</v>
      </c>
      <c r="AT155">
        <f>IFERROR(INDEX('Risk Register'!$B$7:$B$206,148),"")</f>
        <v>0</v>
      </c>
    </row>
    <row r="156" spans="2:46">
      <c r="B156" s="56"/>
      <c r="C156" s="58" t="s">
        <v>29</v>
      </c>
      <c r="D156" s="13"/>
      <c r="E156" s="14"/>
      <c r="F156" s="14"/>
      <c r="G156" s="14"/>
      <c r="H156" s="15"/>
      <c r="I156" s="13"/>
      <c r="J156" s="14"/>
      <c r="K156" s="14"/>
      <c r="L156" s="14"/>
      <c r="M156" s="15"/>
      <c r="N156" s="31"/>
      <c r="O156" s="32"/>
      <c r="P156" s="32"/>
      <c r="Q156" s="32"/>
      <c r="R156" s="33"/>
      <c r="S156" s="31"/>
      <c r="T156" s="32"/>
      <c r="U156" s="32"/>
      <c r="V156" s="32"/>
      <c r="W156" s="33"/>
      <c r="X156" s="31"/>
      <c r="Y156" s="32"/>
      <c r="Z156" s="32"/>
      <c r="AA156" s="32"/>
      <c r="AB156" s="33" t="s">
        <v>174</v>
      </c>
      <c r="AC156" s="31" t="s">
        <v>174</v>
      </c>
      <c r="AD156" s="32" t="s">
        <v>174</v>
      </c>
      <c r="AE156" s="32" t="s">
        <v>174</v>
      </c>
      <c r="AF156" s="32" t="s">
        <v>174</v>
      </c>
      <c r="AG156" s="33" t="s">
        <v>174</v>
      </c>
      <c r="AH156" s="31" t="s">
        <v>174</v>
      </c>
      <c r="AI156" s="32" t="s">
        <v>174</v>
      </c>
      <c r="AJ156" s="32" t="s">
        <v>174</v>
      </c>
      <c r="AK156" s="32" t="s">
        <v>174</v>
      </c>
      <c r="AL156" s="33" t="s">
        <v>174</v>
      </c>
      <c r="AM156" s="31" t="s">
        <v>174</v>
      </c>
      <c r="AN156" s="32" t="s">
        <v>174</v>
      </c>
      <c r="AO156" s="32" t="s">
        <v>174</v>
      </c>
      <c r="AP156" s="32" t="s">
        <v>174</v>
      </c>
      <c r="AQ156" s="33" t="s">
        <v>174</v>
      </c>
      <c r="AS156">
        <f>IFERROR(INDEX('Risk Register'!$A$7:$A$206,149),"")</f>
        <v>0</v>
      </c>
      <c r="AT156">
        <f>IFERROR(INDEX('Risk Register'!$B$7:$B$206,149),"")</f>
        <v>0</v>
      </c>
    </row>
    <row r="157" spans="2:46">
      <c r="B157" s="56"/>
      <c r="C157" s="58"/>
      <c r="D157" s="16"/>
      <c r="E157" s="12"/>
      <c r="F157" s="12"/>
      <c r="G157" s="12"/>
      <c r="H157" s="17"/>
      <c r="I157" s="16"/>
      <c r="J157" s="12"/>
      <c r="K157" s="12"/>
      <c r="L157" s="12"/>
      <c r="M157" s="17"/>
      <c r="N157" s="34"/>
      <c r="O157" s="11"/>
      <c r="P157" s="11"/>
      <c r="Q157" s="11"/>
      <c r="R157" s="35"/>
      <c r="S157" s="34"/>
      <c r="T157" s="11"/>
      <c r="U157" s="11"/>
      <c r="V157" s="11"/>
      <c r="W157" s="35"/>
      <c r="X157" s="34"/>
      <c r="Y157" s="11"/>
      <c r="Z157" s="11"/>
      <c r="AA157" s="11"/>
      <c r="AB157" s="35" t="s">
        <v>174</v>
      </c>
      <c r="AC157" s="34" t="s">
        <v>174</v>
      </c>
      <c r="AD157" s="11" t="s">
        <v>174</v>
      </c>
      <c r="AE157" s="11" t="s">
        <v>174</v>
      </c>
      <c r="AF157" s="11" t="s">
        <v>174</v>
      </c>
      <c r="AG157" s="35" t="s">
        <v>174</v>
      </c>
      <c r="AH157" s="34" t="s">
        <v>174</v>
      </c>
      <c r="AI157" s="11" t="s">
        <v>174</v>
      </c>
      <c r="AJ157" s="11" t="s">
        <v>174</v>
      </c>
      <c r="AK157" s="11" t="s">
        <v>174</v>
      </c>
      <c r="AL157" s="35" t="s">
        <v>174</v>
      </c>
      <c r="AM157" s="34" t="s">
        <v>174</v>
      </c>
      <c r="AN157" s="11" t="s">
        <v>174</v>
      </c>
      <c r="AO157" s="11" t="s">
        <v>174</v>
      </c>
      <c r="AP157" s="11" t="s">
        <v>174</v>
      </c>
      <c r="AQ157" s="35" t="s">
        <v>174</v>
      </c>
      <c r="AS157">
        <f>IFERROR(INDEX('Risk Register'!$A$7:$A$206,150),"")</f>
        <v>0</v>
      </c>
      <c r="AT157">
        <f>IFERROR(INDEX('Risk Register'!$B$7:$B$206,150),"")</f>
        <v>0</v>
      </c>
    </row>
    <row r="158" spans="2:46">
      <c r="B158" s="56"/>
      <c r="C158" s="58"/>
      <c r="D158" s="16"/>
      <c r="E158" s="12"/>
      <c r="F158" s="12"/>
      <c r="G158" s="12"/>
      <c r="H158" s="17"/>
      <c r="I158" s="16"/>
      <c r="J158" s="12"/>
      <c r="K158" s="12"/>
      <c r="L158" s="12"/>
      <c r="M158" s="17"/>
      <c r="N158" s="34"/>
      <c r="O158" s="11"/>
      <c r="P158" s="11"/>
      <c r="Q158" s="11"/>
      <c r="R158" s="35"/>
      <c r="S158" s="34"/>
      <c r="T158" s="11"/>
      <c r="U158" s="11"/>
      <c r="V158" s="11"/>
      <c r="W158" s="35"/>
      <c r="X158" s="34"/>
      <c r="Y158" s="11"/>
      <c r="Z158" s="11"/>
      <c r="AA158" s="11"/>
      <c r="AB158" s="35" t="s">
        <v>174</v>
      </c>
      <c r="AC158" s="34" t="s">
        <v>174</v>
      </c>
      <c r="AD158" s="11" t="s">
        <v>174</v>
      </c>
      <c r="AE158" s="11" t="s">
        <v>174</v>
      </c>
      <c r="AF158" s="11" t="s">
        <v>174</v>
      </c>
      <c r="AG158" s="35" t="s">
        <v>174</v>
      </c>
      <c r="AH158" s="34" t="s">
        <v>174</v>
      </c>
      <c r="AI158" s="11" t="s">
        <v>174</v>
      </c>
      <c r="AJ158" s="11" t="s">
        <v>174</v>
      </c>
      <c r="AK158" s="11" t="s">
        <v>174</v>
      </c>
      <c r="AL158" s="35" t="s">
        <v>174</v>
      </c>
      <c r="AM158" s="34" t="s">
        <v>174</v>
      </c>
      <c r="AN158" s="11" t="s">
        <v>174</v>
      </c>
      <c r="AO158" s="11" t="s">
        <v>174</v>
      </c>
      <c r="AP158" s="11" t="s">
        <v>174</v>
      </c>
      <c r="AQ158" s="35" t="s">
        <v>174</v>
      </c>
      <c r="AS158">
        <f>IFERROR(INDEX('Risk Register'!$A$7:$A$206,151),"")</f>
        <v>0</v>
      </c>
      <c r="AT158">
        <f>IFERROR(INDEX('Risk Register'!$B$7:$B$206,151),"")</f>
        <v>0</v>
      </c>
    </row>
    <row r="159" spans="2:46">
      <c r="B159" s="56"/>
      <c r="C159" s="58"/>
      <c r="D159" s="16"/>
      <c r="E159" s="12"/>
      <c r="F159" s="12"/>
      <c r="G159" s="12"/>
      <c r="H159" s="17"/>
      <c r="I159" s="16"/>
      <c r="J159" s="12"/>
      <c r="K159" s="12"/>
      <c r="L159" s="12"/>
      <c r="M159" s="17"/>
      <c r="N159" s="34"/>
      <c r="O159" s="11"/>
      <c r="P159" s="11"/>
      <c r="Q159" s="11"/>
      <c r="R159" s="35"/>
      <c r="S159" s="34"/>
      <c r="T159" s="11"/>
      <c r="U159" s="11"/>
      <c r="V159" s="11"/>
      <c r="W159" s="35"/>
      <c r="X159" s="34"/>
      <c r="Y159" s="11"/>
      <c r="Z159" s="11"/>
      <c r="AA159" s="11"/>
      <c r="AB159" s="35" t="s">
        <v>174</v>
      </c>
      <c r="AC159" s="34" t="s">
        <v>174</v>
      </c>
      <c r="AD159" s="11" t="s">
        <v>174</v>
      </c>
      <c r="AE159" s="11" t="s">
        <v>174</v>
      </c>
      <c r="AF159" s="11" t="s">
        <v>174</v>
      </c>
      <c r="AG159" s="35" t="s">
        <v>174</v>
      </c>
      <c r="AH159" s="34" t="s">
        <v>174</v>
      </c>
      <c r="AI159" s="11" t="s">
        <v>174</v>
      </c>
      <c r="AJ159" s="11" t="s">
        <v>174</v>
      </c>
      <c r="AK159" s="11" t="s">
        <v>174</v>
      </c>
      <c r="AL159" s="35" t="s">
        <v>174</v>
      </c>
      <c r="AM159" s="34" t="s">
        <v>174</v>
      </c>
      <c r="AN159" s="11" t="s">
        <v>174</v>
      </c>
      <c r="AO159" s="11" t="s">
        <v>174</v>
      </c>
      <c r="AP159" s="11" t="s">
        <v>174</v>
      </c>
      <c r="AQ159" s="35" t="s">
        <v>174</v>
      </c>
      <c r="AS159">
        <f>IFERROR(INDEX('Risk Register'!$A$7:$A$206,152),"")</f>
        <v>0</v>
      </c>
      <c r="AT159">
        <f>IFERROR(INDEX('Risk Register'!$B$7:$B$206,152),"")</f>
        <v>0</v>
      </c>
    </row>
    <row r="160" spans="2:46">
      <c r="B160" s="56"/>
      <c r="C160" s="58"/>
      <c r="D160" s="18"/>
      <c r="E160" s="19"/>
      <c r="F160" s="19"/>
      <c r="G160" s="19"/>
      <c r="H160" s="20"/>
      <c r="I160" s="18"/>
      <c r="J160" s="19"/>
      <c r="K160" s="19"/>
      <c r="L160" s="19"/>
      <c r="M160" s="20"/>
      <c r="N160" s="36"/>
      <c r="O160" s="37"/>
      <c r="P160" s="37"/>
      <c r="Q160" s="37"/>
      <c r="R160" s="38"/>
      <c r="S160" s="36"/>
      <c r="T160" s="37"/>
      <c r="U160" s="37"/>
      <c r="V160" s="37"/>
      <c r="W160" s="38"/>
      <c r="X160" s="36"/>
      <c r="Y160" s="37"/>
      <c r="Z160" s="37"/>
      <c r="AA160" s="37"/>
      <c r="AB160" s="38" t="s">
        <v>174</v>
      </c>
      <c r="AC160" s="36" t="s">
        <v>174</v>
      </c>
      <c r="AD160" s="37" t="s">
        <v>174</v>
      </c>
      <c r="AE160" s="37" t="s">
        <v>174</v>
      </c>
      <c r="AF160" s="37" t="s">
        <v>174</v>
      </c>
      <c r="AG160" s="38" t="s">
        <v>174</v>
      </c>
      <c r="AH160" s="36" t="s">
        <v>174</v>
      </c>
      <c r="AI160" s="37" t="s">
        <v>174</v>
      </c>
      <c r="AJ160" s="37" t="s">
        <v>174</v>
      </c>
      <c r="AK160" s="37" t="s">
        <v>174</v>
      </c>
      <c r="AL160" s="38" t="s">
        <v>174</v>
      </c>
      <c r="AM160" s="36" t="s">
        <v>174</v>
      </c>
      <c r="AN160" s="37" t="s">
        <v>174</v>
      </c>
      <c r="AO160" s="37" t="s">
        <v>174</v>
      </c>
      <c r="AP160" s="37" t="s">
        <v>174</v>
      </c>
      <c r="AQ160" s="38" t="s">
        <v>174</v>
      </c>
      <c r="AS160">
        <f>IFERROR(INDEX('Risk Register'!$A$7:$A$206,153),"")</f>
        <v>0</v>
      </c>
      <c r="AT160">
        <f>IFERROR(INDEX('Risk Register'!$B$7:$B$206,153),"")</f>
        <v>0</v>
      </c>
    </row>
    <row r="161" spans="2:46">
      <c r="B161" s="56"/>
      <c r="C161" s="58" t="s">
        <v>30</v>
      </c>
      <c r="D161" s="13"/>
      <c r="E161" s="14"/>
      <c r="F161" s="14"/>
      <c r="G161" s="14"/>
      <c r="H161" s="15"/>
      <c r="I161" s="13"/>
      <c r="J161" s="14"/>
      <c r="K161" s="14"/>
      <c r="L161" s="14"/>
      <c r="M161" s="15"/>
      <c r="N161" s="13"/>
      <c r="O161" s="14"/>
      <c r="P161" s="14"/>
      <c r="Q161" s="14"/>
      <c r="R161" s="15"/>
      <c r="S161" s="31"/>
      <c r="T161" s="32"/>
      <c r="U161" s="32"/>
      <c r="V161" s="32"/>
      <c r="W161" s="33"/>
      <c r="X161" s="31"/>
      <c r="Y161" s="32"/>
      <c r="Z161" s="32"/>
      <c r="AA161" s="32"/>
      <c r="AB161" s="33" t="s">
        <v>174</v>
      </c>
      <c r="AC161" s="31" t="s">
        <v>174</v>
      </c>
      <c r="AD161" s="32" t="s">
        <v>174</v>
      </c>
      <c r="AE161" s="32" t="s">
        <v>174</v>
      </c>
      <c r="AF161" s="32" t="s">
        <v>174</v>
      </c>
      <c r="AG161" s="33" t="s">
        <v>174</v>
      </c>
      <c r="AH161" s="31" t="s">
        <v>174</v>
      </c>
      <c r="AI161" s="32" t="s">
        <v>174</v>
      </c>
      <c r="AJ161" s="32" t="s">
        <v>174</v>
      </c>
      <c r="AK161" s="32" t="s">
        <v>174</v>
      </c>
      <c r="AL161" s="33" t="s">
        <v>174</v>
      </c>
      <c r="AM161" s="31" t="s">
        <v>174</v>
      </c>
      <c r="AN161" s="32" t="s">
        <v>174</v>
      </c>
      <c r="AO161" s="32" t="s">
        <v>174</v>
      </c>
      <c r="AP161" s="32" t="s">
        <v>174</v>
      </c>
      <c r="AQ161" s="33" t="s">
        <v>174</v>
      </c>
      <c r="AS161">
        <f>IFERROR(INDEX('Risk Register'!$A$7:$A$206,154),"")</f>
        <v>0</v>
      </c>
      <c r="AT161">
        <f>IFERROR(INDEX('Risk Register'!$B$7:$B$206,154),"")</f>
        <v>0</v>
      </c>
    </row>
    <row r="162" spans="2:46">
      <c r="B162" s="56"/>
      <c r="C162" s="58"/>
      <c r="D162" s="16"/>
      <c r="E162" s="12"/>
      <c r="F162" s="12"/>
      <c r="G162" s="12"/>
      <c r="H162" s="17"/>
      <c r="I162" s="16"/>
      <c r="J162" s="12"/>
      <c r="K162" s="12"/>
      <c r="L162" s="12"/>
      <c r="M162" s="17"/>
      <c r="N162" s="16"/>
      <c r="O162" s="12"/>
      <c r="P162" s="12"/>
      <c r="Q162" s="12"/>
      <c r="R162" s="17"/>
      <c r="S162" s="34"/>
      <c r="T162" s="11"/>
      <c r="U162" s="11"/>
      <c r="V162" s="11"/>
      <c r="W162" s="35"/>
      <c r="X162" s="34"/>
      <c r="Y162" s="11"/>
      <c r="Z162" s="11"/>
      <c r="AA162" s="11"/>
      <c r="AB162" s="35" t="s">
        <v>174</v>
      </c>
      <c r="AC162" s="34" t="s">
        <v>174</v>
      </c>
      <c r="AD162" s="11" t="s">
        <v>174</v>
      </c>
      <c r="AE162" s="11" t="s">
        <v>174</v>
      </c>
      <c r="AF162" s="11" t="s">
        <v>174</v>
      </c>
      <c r="AG162" s="35" t="s">
        <v>174</v>
      </c>
      <c r="AH162" s="34" t="s">
        <v>174</v>
      </c>
      <c r="AI162" s="11" t="s">
        <v>174</v>
      </c>
      <c r="AJ162" s="11" t="s">
        <v>174</v>
      </c>
      <c r="AK162" s="11" t="s">
        <v>174</v>
      </c>
      <c r="AL162" s="35" t="s">
        <v>174</v>
      </c>
      <c r="AM162" s="34" t="s">
        <v>174</v>
      </c>
      <c r="AN162" s="11" t="s">
        <v>174</v>
      </c>
      <c r="AO162" s="11" t="s">
        <v>174</v>
      </c>
      <c r="AP162" s="11" t="s">
        <v>174</v>
      </c>
      <c r="AQ162" s="35" t="s">
        <v>174</v>
      </c>
      <c r="AS162">
        <f>IFERROR(INDEX('Risk Register'!$A$7:$A$206,155),"")</f>
        <v>0</v>
      </c>
      <c r="AT162">
        <f>IFERROR(INDEX('Risk Register'!$B$7:$B$206,155),"")</f>
        <v>0</v>
      </c>
    </row>
    <row r="163" spans="2:46">
      <c r="B163" s="56"/>
      <c r="C163" s="58"/>
      <c r="D163" s="16"/>
      <c r="E163" s="12"/>
      <c r="F163" s="12"/>
      <c r="G163" s="12"/>
      <c r="H163" s="17"/>
      <c r="I163" s="16"/>
      <c r="J163" s="12"/>
      <c r="K163" s="12"/>
      <c r="L163" s="12"/>
      <c r="M163" s="17"/>
      <c r="N163" s="16"/>
      <c r="O163" s="12"/>
      <c r="P163" s="12"/>
      <c r="Q163" s="12"/>
      <c r="R163" s="17"/>
      <c r="S163" s="34"/>
      <c r="T163" s="11"/>
      <c r="U163" s="11"/>
      <c r="V163" s="11"/>
      <c r="W163" s="35"/>
      <c r="X163" s="34"/>
      <c r="Y163" s="11"/>
      <c r="Z163" s="11"/>
      <c r="AA163" s="11"/>
      <c r="AB163" s="35" t="s">
        <v>174</v>
      </c>
      <c r="AC163" s="34" t="s">
        <v>174</v>
      </c>
      <c r="AD163" s="11" t="s">
        <v>174</v>
      </c>
      <c r="AE163" s="11" t="s">
        <v>174</v>
      </c>
      <c r="AF163" s="11" t="s">
        <v>174</v>
      </c>
      <c r="AG163" s="35" t="s">
        <v>174</v>
      </c>
      <c r="AH163" s="34" t="s">
        <v>174</v>
      </c>
      <c r="AI163" s="11" t="s">
        <v>174</v>
      </c>
      <c r="AJ163" s="11" t="s">
        <v>174</v>
      </c>
      <c r="AK163" s="11" t="s">
        <v>174</v>
      </c>
      <c r="AL163" s="35" t="s">
        <v>174</v>
      </c>
      <c r="AM163" s="34" t="s">
        <v>174</v>
      </c>
      <c r="AN163" s="11" t="s">
        <v>174</v>
      </c>
      <c r="AO163" s="11" t="s">
        <v>174</v>
      </c>
      <c r="AP163" s="11" t="s">
        <v>174</v>
      </c>
      <c r="AQ163" s="35" t="s">
        <v>174</v>
      </c>
      <c r="AS163">
        <f>IFERROR(INDEX('Risk Register'!$A$7:$A$206,156),"")</f>
        <v>0</v>
      </c>
      <c r="AT163">
        <f>IFERROR(INDEX('Risk Register'!$B$7:$B$206,156),"")</f>
        <v>0</v>
      </c>
    </row>
    <row r="164" spans="2:46">
      <c r="B164" s="56"/>
      <c r="C164" s="58"/>
      <c r="D164" s="16"/>
      <c r="E164" s="12"/>
      <c r="F164" s="12"/>
      <c r="G164" s="12"/>
      <c r="H164" s="17"/>
      <c r="I164" s="16"/>
      <c r="J164" s="12"/>
      <c r="K164" s="12"/>
      <c r="L164" s="12"/>
      <c r="M164" s="17"/>
      <c r="N164" s="16"/>
      <c r="O164" s="12"/>
      <c r="P164" s="12"/>
      <c r="Q164" s="12"/>
      <c r="R164" s="17"/>
      <c r="S164" s="34"/>
      <c r="T164" s="11"/>
      <c r="U164" s="11"/>
      <c r="V164" s="11"/>
      <c r="W164" s="35"/>
      <c r="X164" s="34"/>
      <c r="Y164" s="11"/>
      <c r="Z164" s="11"/>
      <c r="AA164" s="11"/>
      <c r="AB164" s="35" t="s">
        <v>174</v>
      </c>
      <c r="AC164" s="34" t="s">
        <v>174</v>
      </c>
      <c r="AD164" s="11" t="s">
        <v>174</v>
      </c>
      <c r="AE164" s="11" t="s">
        <v>174</v>
      </c>
      <c r="AF164" s="11" t="s">
        <v>174</v>
      </c>
      <c r="AG164" s="35" t="s">
        <v>174</v>
      </c>
      <c r="AH164" s="34" t="s">
        <v>174</v>
      </c>
      <c r="AI164" s="11" t="s">
        <v>174</v>
      </c>
      <c r="AJ164" s="11" t="s">
        <v>174</v>
      </c>
      <c r="AK164" s="11" t="s">
        <v>174</v>
      </c>
      <c r="AL164" s="35" t="s">
        <v>174</v>
      </c>
      <c r="AM164" s="34" t="s">
        <v>174</v>
      </c>
      <c r="AN164" s="11" t="s">
        <v>174</v>
      </c>
      <c r="AO164" s="11" t="s">
        <v>174</v>
      </c>
      <c r="AP164" s="11" t="s">
        <v>174</v>
      </c>
      <c r="AQ164" s="35" t="s">
        <v>174</v>
      </c>
      <c r="AS164">
        <f>IFERROR(INDEX('Risk Register'!$A$7:$A$206,157),"")</f>
        <v>0</v>
      </c>
      <c r="AT164">
        <f>IFERROR(INDEX('Risk Register'!$B$7:$B$206,157),"")</f>
        <v>0</v>
      </c>
    </row>
    <row r="165" spans="2:46">
      <c r="B165" s="56"/>
      <c r="C165" s="58"/>
      <c r="D165" s="18"/>
      <c r="E165" s="19"/>
      <c r="F165" s="19"/>
      <c r="G165" s="19"/>
      <c r="H165" s="20"/>
      <c r="I165" s="18"/>
      <c r="J165" s="19"/>
      <c r="K165" s="19"/>
      <c r="L165" s="19"/>
      <c r="M165" s="20"/>
      <c r="N165" s="18"/>
      <c r="O165" s="19"/>
      <c r="P165" s="19"/>
      <c r="Q165" s="19"/>
      <c r="R165" s="20"/>
      <c r="S165" s="36"/>
      <c r="T165" s="37"/>
      <c r="U165" s="37"/>
      <c r="V165" s="37"/>
      <c r="W165" s="38"/>
      <c r="X165" s="36"/>
      <c r="Y165" s="37"/>
      <c r="Z165" s="37"/>
      <c r="AA165" s="37"/>
      <c r="AB165" s="38" t="s">
        <v>174</v>
      </c>
      <c r="AC165" s="36" t="s">
        <v>174</v>
      </c>
      <c r="AD165" s="37" t="s">
        <v>174</v>
      </c>
      <c r="AE165" s="37" t="s">
        <v>174</v>
      </c>
      <c r="AF165" s="37" t="s">
        <v>174</v>
      </c>
      <c r="AG165" s="38" t="s">
        <v>174</v>
      </c>
      <c r="AH165" s="36" t="s">
        <v>174</v>
      </c>
      <c r="AI165" s="37" t="s">
        <v>174</v>
      </c>
      <c r="AJ165" s="37" t="s">
        <v>174</v>
      </c>
      <c r="AK165" s="37" t="s">
        <v>174</v>
      </c>
      <c r="AL165" s="38" t="s">
        <v>174</v>
      </c>
      <c r="AM165" s="36" t="s">
        <v>174</v>
      </c>
      <c r="AN165" s="37" t="s">
        <v>174</v>
      </c>
      <c r="AO165" s="37" t="s">
        <v>174</v>
      </c>
      <c r="AP165" s="37" t="s">
        <v>174</v>
      </c>
      <c r="AQ165" s="38" t="s">
        <v>174</v>
      </c>
      <c r="AS165">
        <f>IFERROR(INDEX('Risk Register'!$A$7:$A$206,158),"")</f>
        <v>0</v>
      </c>
      <c r="AT165">
        <f>IFERROR(INDEX('Risk Register'!$B$7:$B$206,158),"")</f>
        <v>0</v>
      </c>
    </row>
    <row r="166" spans="2:46">
      <c r="B166" s="56"/>
      <c r="C166" s="58" t="s">
        <v>31</v>
      </c>
      <c r="D166" s="21"/>
      <c r="E166" s="22"/>
      <c r="F166" s="22"/>
      <c r="G166" s="22"/>
      <c r="H166" s="23"/>
      <c r="I166" s="21"/>
      <c r="J166" s="22"/>
      <c r="K166" s="22"/>
      <c r="L166" s="22"/>
      <c r="M166" s="23"/>
      <c r="N166" s="13"/>
      <c r="O166" s="14"/>
      <c r="P166" s="14"/>
      <c r="Q166" s="14"/>
      <c r="R166" s="15"/>
      <c r="S166" s="13"/>
      <c r="T166" s="14"/>
      <c r="U166" s="14"/>
      <c r="V166" s="14"/>
      <c r="W166" s="15"/>
      <c r="X166" s="13"/>
      <c r="Y166" s="14"/>
      <c r="Z166" s="14"/>
      <c r="AA166" s="14"/>
      <c r="AB166" s="15" t="s">
        <v>174</v>
      </c>
      <c r="AC166" s="31" t="s">
        <v>174</v>
      </c>
      <c r="AD166" s="32" t="s">
        <v>174</v>
      </c>
      <c r="AE166" s="32" t="s">
        <v>174</v>
      </c>
      <c r="AF166" s="32" t="s">
        <v>174</v>
      </c>
      <c r="AG166" s="33" t="s">
        <v>174</v>
      </c>
      <c r="AH166" s="31" t="s">
        <v>174</v>
      </c>
      <c r="AI166" s="32" t="s">
        <v>174</v>
      </c>
      <c r="AJ166" s="32" t="s">
        <v>174</v>
      </c>
      <c r="AK166" s="32" t="s">
        <v>174</v>
      </c>
      <c r="AL166" s="33" t="s">
        <v>174</v>
      </c>
      <c r="AM166" s="31" t="s">
        <v>174</v>
      </c>
      <c r="AN166" s="32" t="s">
        <v>174</v>
      </c>
      <c r="AO166" s="32" t="s">
        <v>174</v>
      </c>
      <c r="AP166" s="32" t="s">
        <v>174</v>
      </c>
      <c r="AQ166" s="33" t="s">
        <v>174</v>
      </c>
      <c r="AS166">
        <f>IFERROR(INDEX('Risk Register'!$A$7:$A$206,159),"")</f>
        <v>0</v>
      </c>
      <c r="AT166">
        <f>IFERROR(INDEX('Risk Register'!$B$7:$B$206,159),"")</f>
        <v>0</v>
      </c>
    </row>
    <row r="167" spans="2:46">
      <c r="B167" s="56"/>
      <c r="C167" s="58"/>
      <c r="D167" s="24"/>
      <c r="E167" s="25"/>
      <c r="F167" s="25"/>
      <c r="G167" s="25"/>
      <c r="H167" s="26"/>
      <c r="I167" s="24"/>
      <c r="J167" s="25"/>
      <c r="K167" s="25"/>
      <c r="L167" s="25"/>
      <c r="M167" s="26"/>
      <c r="N167" s="16"/>
      <c r="O167" s="12"/>
      <c r="P167" s="12"/>
      <c r="Q167" s="12"/>
      <c r="R167" s="17"/>
      <c r="S167" s="16"/>
      <c r="T167" s="12"/>
      <c r="U167" s="12"/>
      <c r="V167" s="12"/>
      <c r="W167" s="17"/>
      <c r="X167" s="16"/>
      <c r="Y167" s="12"/>
      <c r="Z167" s="12"/>
      <c r="AA167" s="12"/>
      <c r="AB167" s="17" t="s">
        <v>174</v>
      </c>
      <c r="AC167" s="34" t="s">
        <v>174</v>
      </c>
      <c r="AD167" s="11" t="s">
        <v>174</v>
      </c>
      <c r="AE167" s="11" t="s">
        <v>174</v>
      </c>
      <c r="AF167" s="11" t="s">
        <v>174</v>
      </c>
      <c r="AG167" s="35" t="s">
        <v>174</v>
      </c>
      <c r="AH167" s="34" t="s">
        <v>174</v>
      </c>
      <c r="AI167" s="11" t="s">
        <v>174</v>
      </c>
      <c r="AJ167" s="11" t="s">
        <v>174</v>
      </c>
      <c r="AK167" s="11" t="s">
        <v>174</v>
      </c>
      <c r="AL167" s="35" t="s">
        <v>174</v>
      </c>
      <c r="AM167" s="34" t="s">
        <v>174</v>
      </c>
      <c r="AN167" s="11" t="s">
        <v>174</v>
      </c>
      <c r="AO167" s="11" t="s">
        <v>174</v>
      </c>
      <c r="AP167" s="11" t="s">
        <v>174</v>
      </c>
      <c r="AQ167" s="35" t="s">
        <v>174</v>
      </c>
      <c r="AS167">
        <f>IFERROR(INDEX('Risk Register'!$A$7:$A$206,160),"")</f>
        <v>0</v>
      </c>
      <c r="AT167">
        <f>IFERROR(INDEX('Risk Register'!$B$7:$B$206,160),"")</f>
        <v>0</v>
      </c>
    </row>
    <row r="168" spans="2:46">
      <c r="B168" s="56"/>
      <c r="C168" s="58"/>
      <c r="D168" s="24"/>
      <c r="E168" s="25"/>
      <c r="F168" s="25"/>
      <c r="G168" s="25"/>
      <c r="H168" s="26"/>
      <c r="I168" s="24"/>
      <c r="J168" s="25"/>
      <c r="K168" s="25"/>
      <c r="L168" s="25"/>
      <c r="M168" s="26"/>
      <c r="N168" s="16"/>
      <c r="O168" s="12"/>
      <c r="P168" s="12"/>
      <c r="Q168" s="12"/>
      <c r="R168" s="17"/>
      <c r="S168" s="16"/>
      <c r="T168" s="12"/>
      <c r="U168" s="12"/>
      <c r="V168" s="12"/>
      <c r="W168" s="17"/>
      <c r="X168" s="16"/>
      <c r="Y168" s="12"/>
      <c r="Z168" s="12"/>
      <c r="AA168" s="12"/>
      <c r="AB168" s="17" t="s">
        <v>174</v>
      </c>
      <c r="AC168" s="34" t="s">
        <v>174</v>
      </c>
      <c r="AD168" s="11" t="s">
        <v>174</v>
      </c>
      <c r="AE168" s="11" t="s">
        <v>174</v>
      </c>
      <c r="AF168" s="11" t="s">
        <v>174</v>
      </c>
      <c r="AG168" s="35" t="s">
        <v>174</v>
      </c>
      <c r="AH168" s="34" t="s">
        <v>174</v>
      </c>
      <c r="AI168" s="11" t="s">
        <v>174</v>
      </c>
      <c r="AJ168" s="11" t="s">
        <v>174</v>
      </c>
      <c r="AK168" s="11" t="s">
        <v>174</v>
      </c>
      <c r="AL168" s="35" t="s">
        <v>174</v>
      </c>
      <c r="AM168" s="34" t="s">
        <v>174</v>
      </c>
      <c r="AN168" s="11" t="s">
        <v>174</v>
      </c>
      <c r="AO168" s="11" t="s">
        <v>174</v>
      </c>
      <c r="AP168" s="11" t="s">
        <v>174</v>
      </c>
      <c r="AQ168" s="35" t="s">
        <v>174</v>
      </c>
      <c r="AS168">
        <f>IFERROR(INDEX('Risk Register'!$A$7:$A$206,161),"")</f>
        <v>0</v>
      </c>
      <c r="AT168">
        <f>IFERROR(INDEX('Risk Register'!$B$7:$B$206,161),"")</f>
        <v>0</v>
      </c>
    </row>
    <row r="169" spans="2:46">
      <c r="B169" s="56"/>
      <c r="C169" s="58"/>
      <c r="D169" s="24"/>
      <c r="E169" s="25"/>
      <c r="F169" s="25"/>
      <c r="G169" s="25"/>
      <c r="H169" s="26"/>
      <c r="I169" s="24"/>
      <c r="J169" s="25"/>
      <c r="K169" s="25"/>
      <c r="L169" s="25"/>
      <c r="M169" s="26"/>
      <c r="N169" s="16"/>
      <c r="O169" s="12"/>
      <c r="P169" s="12"/>
      <c r="Q169" s="12"/>
      <c r="R169" s="17"/>
      <c r="S169" s="16"/>
      <c r="T169" s="12"/>
      <c r="U169" s="12"/>
      <c r="V169" s="12"/>
      <c r="W169" s="17"/>
      <c r="X169" s="16"/>
      <c r="Y169" s="12"/>
      <c r="Z169" s="12"/>
      <c r="AA169" s="12"/>
      <c r="AB169" s="17" t="s">
        <v>174</v>
      </c>
      <c r="AC169" s="34" t="s">
        <v>174</v>
      </c>
      <c r="AD169" s="11" t="s">
        <v>174</v>
      </c>
      <c r="AE169" s="11" t="s">
        <v>174</v>
      </c>
      <c r="AF169" s="11" t="s">
        <v>174</v>
      </c>
      <c r="AG169" s="35" t="s">
        <v>174</v>
      </c>
      <c r="AH169" s="34" t="s">
        <v>174</v>
      </c>
      <c r="AI169" s="11" t="s">
        <v>174</v>
      </c>
      <c r="AJ169" s="11" t="s">
        <v>174</v>
      </c>
      <c r="AK169" s="11" t="s">
        <v>174</v>
      </c>
      <c r="AL169" s="35" t="s">
        <v>174</v>
      </c>
      <c r="AM169" s="34" t="s">
        <v>174</v>
      </c>
      <c r="AN169" s="11" t="s">
        <v>174</v>
      </c>
      <c r="AO169" s="11" t="s">
        <v>174</v>
      </c>
      <c r="AP169" s="11" t="s">
        <v>174</v>
      </c>
      <c r="AQ169" s="35" t="s">
        <v>174</v>
      </c>
      <c r="AS169">
        <f>IFERROR(INDEX('Risk Register'!$A$7:$A$206,162),"")</f>
        <v>0</v>
      </c>
      <c r="AT169">
        <f>IFERROR(INDEX('Risk Register'!$B$7:$B$206,162),"")</f>
        <v>0</v>
      </c>
    </row>
    <row r="170" spans="2:46">
      <c r="B170" s="56"/>
      <c r="C170" s="58"/>
      <c r="D170" s="27"/>
      <c r="E170" s="28"/>
      <c r="F170" s="28"/>
      <c r="G170" s="28"/>
      <c r="H170" s="29"/>
      <c r="I170" s="27"/>
      <c r="J170" s="28"/>
      <c r="K170" s="28"/>
      <c r="L170" s="28"/>
      <c r="M170" s="29"/>
      <c r="N170" s="18"/>
      <c r="O170" s="19"/>
      <c r="P170" s="19"/>
      <c r="Q170" s="19"/>
      <c r="R170" s="20"/>
      <c r="S170" s="18"/>
      <c r="T170" s="19"/>
      <c r="U170" s="19"/>
      <c r="V170" s="19"/>
      <c r="W170" s="20"/>
      <c r="X170" s="18"/>
      <c r="Y170" s="19"/>
      <c r="Z170" s="19"/>
      <c r="AA170" s="19"/>
      <c r="AB170" s="20" t="s">
        <v>174</v>
      </c>
      <c r="AC170" s="36" t="s">
        <v>174</v>
      </c>
      <c r="AD170" s="37" t="s">
        <v>174</v>
      </c>
      <c r="AE170" s="37" t="s">
        <v>174</v>
      </c>
      <c r="AF170" s="37" t="s">
        <v>174</v>
      </c>
      <c r="AG170" s="38" t="s">
        <v>174</v>
      </c>
      <c r="AH170" s="36" t="s">
        <v>174</v>
      </c>
      <c r="AI170" s="37" t="s">
        <v>174</v>
      </c>
      <c r="AJ170" s="37" t="s">
        <v>174</v>
      </c>
      <c r="AK170" s="37" t="s">
        <v>174</v>
      </c>
      <c r="AL170" s="38" t="s">
        <v>174</v>
      </c>
      <c r="AM170" s="36" t="s">
        <v>174</v>
      </c>
      <c r="AN170" s="37" t="s">
        <v>174</v>
      </c>
      <c r="AO170" s="37" t="s">
        <v>174</v>
      </c>
      <c r="AP170" s="37" t="s">
        <v>174</v>
      </c>
      <c r="AQ170" s="38" t="s">
        <v>174</v>
      </c>
      <c r="AS170">
        <f>IFERROR(INDEX('Risk Register'!$A$7:$A$206,163),"")</f>
        <v>0</v>
      </c>
      <c r="AT170">
        <f>IFERROR(INDEX('Risk Register'!$B$7:$B$206,163),"")</f>
        <v>0</v>
      </c>
    </row>
    <row r="171" spans="2:46">
      <c r="B171" s="56"/>
      <c r="C171" s="58" t="s">
        <v>32</v>
      </c>
      <c r="D171" s="21"/>
      <c r="E171" s="22"/>
      <c r="F171" s="22"/>
      <c r="G171" s="22"/>
      <c r="H171" s="23"/>
      <c r="I171" s="21"/>
      <c r="J171" s="22"/>
      <c r="K171" s="22"/>
      <c r="L171" s="22"/>
      <c r="M171" s="23"/>
      <c r="N171" s="21"/>
      <c r="O171" s="22"/>
      <c r="P171" s="22"/>
      <c r="Q171" s="22"/>
      <c r="R171" s="23"/>
      <c r="S171" s="13"/>
      <c r="T171" s="14"/>
      <c r="U171" s="14"/>
      <c r="V171" s="14"/>
      <c r="W171" s="15"/>
      <c r="X171" s="13"/>
      <c r="Y171" s="14"/>
      <c r="Z171" s="14"/>
      <c r="AA171" s="14"/>
      <c r="AB171" s="15" t="s">
        <v>174</v>
      </c>
      <c r="AC171" s="13" t="s">
        <v>174</v>
      </c>
      <c r="AD171" s="14" t="s">
        <v>174</v>
      </c>
      <c r="AE171" s="14" t="s">
        <v>174</v>
      </c>
      <c r="AF171" s="14" t="s">
        <v>174</v>
      </c>
      <c r="AG171" s="15" t="s">
        <v>174</v>
      </c>
      <c r="AH171" s="13" t="s">
        <v>174</v>
      </c>
      <c r="AI171" s="14" t="s">
        <v>174</v>
      </c>
      <c r="AJ171" s="14" t="s">
        <v>174</v>
      </c>
      <c r="AK171" s="14" t="s">
        <v>174</v>
      </c>
      <c r="AL171" s="15" t="s">
        <v>174</v>
      </c>
      <c r="AM171" s="13" t="s">
        <v>174</v>
      </c>
      <c r="AN171" s="14" t="s">
        <v>174</v>
      </c>
      <c r="AO171" s="14" t="s">
        <v>174</v>
      </c>
      <c r="AP171" s="14" t="s">
        <v>174</v>
      </c>
      <c r="AQ171" s="15" t="s">
        <v>174</v>
      </c>
      <c r="AS171">
        <f>IFERROR(INDEX('Risk Register'!$A$7:$A$206,164),"")</f>
        <v>0</v>
      </c>
      <c r="AT171">
        <f>IFERROR(INDEX('Risk Register'!$B$7:$B$206,164),"")</f>
        <v>0</v>
      </c>
    </row>
    <row r="172" spans="2:46">
      <c r="B172" s="56"/>
      <c r="C172" s="58"/>
      <c r="D172" s="24"/>
      <c r="E172" s="25"/>
      <c r="F172" s="25"/>
      <c r="G172" s="25"/>
      <c r="H172" s="26"/>
      <c r="I172" s="24"/>
      <c r="J172" s="25"/>
      <c r="K172" s="25"/>
      <c r="L172" s="25"/>
      <c r="M172" s="26"/>
      <c r="N172" s="24"/>
      <c r="O172" s="25"/>
      <c r="P172" s="25"/>
      <c r="Q172" s="25"/>
      <c r="R172" s="26"/>
      <c r="S172" s="16"/>
      <c r="T172" s="12"/>
      <c r="U172" s="12"/>
      <c r="V172" s="12"/>
      <c r="W172" s="17"/>
      <c r="X172" s="16"/>
      <c r="Y172" s="12"/>
      <c r="Z172" s="12"/>
      <c r="AA172" s="12"/>
      <c r="AB172" s="17" t="s">
        <v>174</v>
      </c>
      <c r="AC172" s="16" t="s">
        <v>174</v>
      </c>
      <c r="AD172" s="12" t="s">
        <v>174</v>
      </c>
      <c r="AE172" s="12" t="s">
        <v>174</v>
      </c>
      <c r="AF172" s="12" t="s">
        <v>174</v>
      </c>
      <c r="AG172" s="17" t="s">
        <v>174</v>
      </c>
      <c r="AH172" s="16" t="s">
        <v>174</v>
      </c>
      <c r="AI172" s="12" t="s">
        <v>174</v>
      </c>
      <c r="AJ172" s="12" t="s">
        <v>174</v>
      </c>
      <c r="AK172" s="12" t="s">
        <v>174</v>
      </c>
      <c r="AL172" s="17" t="s">
        <v>174</v>
      </c>
      <c r="AM172" s="16" t="s">
        <v>174</v>
      </c>
      <c r="AN172" s="12" t="s">
        <v>174</v>
      </c>
      <c r="AO172" s="12" t="s">
        <v>174</v>
      </c>
      <c r="AP172" s="12" t="s">
        <v>174</v>
      </c>
      <c r="AQ172" s="17" t="s">
        <v>174</v>
      </c>
      <c r="AS172">
        <f>IFERROR(INDEX('Risk Register'!$A$7:$A$206,165),"")</f>
        <v>0</v>
      </c>
      <c r="AT172">
        <f>IFERROR(INDEX('Risk Register'!$B$7:$B$206,165),"")</f>
        <v>0</v>
      </c>
    </row>
    <row r="173" spans="2:46">
      <c r="B173" s="56"/>
      <c r="C173" s="58"/>
      <c r="D173" s="24"/>
      <c r="E173" s="25"/>
      <c r="F173" s="25"/>
      <c r="G173" s="25"/>
      <c r="H173" s="26"/>
      <c r="I173" s="24"/>
      <c r="J173" s="25"/>
      <c r="K173" s="25"/>
      <c r="L173" s="25"/>
      <c r="M173" s="26"/>
      <c r="N173" s="24"/>
      <c r="O173" s="25"/>
      <c r="P173" s="25"/>
      <c r="Q173" s="25"/>
      <c r="R173" s="26"/>
      <c r="S173" s="16"/>
      <c r="T173" s="12"/>
      <c r="U173" s="12"/>
      <c r="V173" s="12"/>
      <c r="W173" s="17"/>
      <c r="X173" s="16"/>
      <c r="Y173" s="12"/>
      <c r="Z173" s="12"/>
      <c r="AA173" s="12"/>
      <c r="AB173" s="17" t="s">
        <v>174</v>
      </c>
      <c r="AC173" s="16" t="s">
        <v>174</v>
      </c>
      <c r="AD173" s="12" t="s">
        <v>174</v>
      </c>
      <c r="AE173" s="12" t="s">
        <v>174</v>
      </c>
      <c r="AF173" s="12" t="s">
        <v>174</v>
      </c>
      <c r="AG173" s="17" t="s">
        <v>174</v>
      </c>
      <c r="AH173" s="16" t="s">
        <v>174</v>
      </c>
      <c r="AI173" s="12" t="s">
        <v>174</v>
      </c>
      <c r="AJ173" s="12" t="s">
        <v>174</v>
      </c>
      <c r="AK173" s="12" t="s">
        <v>174</v>
      </c>
      <c r="AL173" s="17" t="s">
        <v>174</v>
      </c>
      <c r="AM173" s="16" t="s">
        <v>174</v>
      </c>
      <c r="AN173" s="12" t="s">
        <v>174</v>
      </c>
      <c r="AO173" s="12" t="s">
        <v>174</v>
      </c>
      <c r="AP173" s="12" t="s">
        <v>174</v>
      </c>
      <c r="AQ173" s="17" t="s">
        <v>174</v>
      </c>
      <c r="AS173">
        <f>IFERROR(INDEX('Risk Register'!$A$7:$A$206,166),"")</f>
        <v>0</v>
      </c>
      <c r="AT173">
        <f>IFERROR(INDEX('Risk Register'!$B$7:$B$206,166),"")</f>
        <v>0</v>
      </c>
    </row>
    <row r="174" spans="2:46">
      <c r="B174" s="56"/>
      <c r="C174" s="58"/>
      <c r="D174" s="24"/>
      <c r="E174" s="25"/>
      <c r="F174" s="25"/>
      <c r="G174" s="25"/>
      <c r="H174" s="26"/>
      <c r="I174" s="24"/>
      <c r="J174" s="25"/>
      <c r="K174" s="25"/>
      <c r="L174" s="25"/>
      <c r="M174" s="26"/>
      <c r="N174" s="24"/>
      <c r="O174" s="25"/>
      <c r="P174" s="25"/>
      <c r="Q174" s="25"/>
      <c r="R174" s="26"/>
      <c r="S174" s="16"/>
      <c r="T174" s="12"/>
      <c r="U174" s="12"/>
      <c r="V174" s="12"/>
      <c r="W174" s="17"/>
      <c r="X174" s="16"/>
      <c r="Y174" s="12"/>
      <c r="Z174" s="12"/>
      <c r="AA174" s="12"/>
      <c r="AB174" s="17" t="s">
        <v>174</v>
      </c>
      <c r="AC174" s="16" t="s">
        <v>174</v>
      </c>
      <c r="AD174" s="12" t="s">
        <v>174</v>
      </c>
      <c r="AE174" s="12" t="s">
        <v>174</v>
      </c>
      <c r="AF174" s="12" t="s">
        <v>174</v>
      </c>
      <c r="AG174" s="17" t="s">
        <v>174</v>
      </c>
      <c r="AH174" s="16" t="s">
        <v>174</v>
      </c>
      <c r="AI174" s="12" t="s">
        <v>174</v>
      </c>
      <c r="AJ174" s="12" t="s">
        <v>174</v>
      </c>
      <c r="AK174" s="12" t="s">
        <v>174</v>
      </c>
      <c r="AL174" s="17" t="s">
        <v>174</v>
      </c>
      <c r="AM174" s="16" t="s">
        <v>174</v>
      </c>
      <c r="AN174" s="12" t="s">
        <v>174</v>
      </c>
      <c r="AO174" s="12" t="s">
        <v>174</v>
      </c>
      <c r="AP174" s="12" t="s">
        <v>174</v>
      </c>
      <c r="AQ174" s="17" t="s">
        <v>174</v>
      </c>
      <c r="AS174">
        <f>IFERROR(INDEX('Risk Register'!$A$7:$A$206,167),"")</f>
        <v>0</v>
      </c>
      <c r="AT174">
        <f>IFERROR(INDEX('Risk Register'!$B$7:$B$206,167),"")</f>
        <v>0</v>
      </c>
    </row>
    <row r="175" spans="2:46">
      <c r="B175" s="56"/>
      <c r="C175" s="58"/>
      <c r="D175" s="27"/>
      <c r="E175" s="28"/>
      <c r="F175" s="28"/>
      <c r="G175" s="28"/>
      <c r="H175" s="29"/>
      <c r="I175" s="27"/>
      <c r="J175" s="28"/>
      <c r="K175" s="28"/>
      <c r="L175" s="28"/>
      <c r="M175" s="29"/>
      <c r="N175" s="27"/>
      <c r="O175" s="28"/>
      <c r="P175" s="28"/>
      <c r="Q175" s="28"/>
      <c r="R175" s="29"/>
      <c r="S175" s="18"/>
      <c r="T175" s="19"/>
      <c r="U175" s="19"/>
      <c r="V175" s="19"/>
      <c r="W175" s="20"/>
      <c r="X175" s="18"/>
      <c r="Y175" s="19"/>
      <c r="Z175" s="19"/>
      <c r="AA175" s="19"/>
      <c r="AB175" s="20" t="s">
        <v>174</v>
      </c>
      <c r="AC175" s="18" t="s">
        <v>174</v>
      </c>
      <c r="AD175" s="19" t="s">
        <v>174</v>
      </c>
      <c r="AE175" s="19" t="s">
        <v>174</v>
      </c>
      <c r="AF175" s="19" t="s">
        <v>174</v>
      </c>
      <c r="AG175" s="20" t="s">
        <v>174</v>
      </c>
      <c r="AH175" s="18" t="s">
        <v>174</v>
      </c>
      <c r="AI175" s="19" t="s">
        <v>174</v>
      </c>
      <c r="AJ175" s="19" t="s">
        <v>174</v>
      </c>
      <c r="AK175" s="19" t="s">
        <v>174</v>
      </c>
      <c r="AL175" s="20" t="s">
        <v>174</v>
      </c>
      <c r="AM175" s="18" t="s">
        <v>174</v>
      </c>
      <c r="AN175" s="19" t="s">
        <v>174</v>
      </c>
      <c r="AO175" s="19" t="s">
        <v>174</v>
      </c>
      <c r="AP175" s="19" t="s">
        <v>174</v>
      </c>
      <c r="AQ175" s="20" t="s">
        <v>174</v>
      </c>
      <c r="AS175">
        <f>IFERROR(INDEX('Risk Register'!$A$7:$A$206,168),"")</f>
        <v>0</v>
      </c>
      <c r="AT175">
        <f>IFERROR(INDEX('Risk Register'!$B$7:$B$206,168),"")</f>
        <v>0</v>
      </c>
    </row>
    <row r="176" spans="2:46">
      <c r="B176" s="56"/>
      <c r="C176" s="58" t="s">
        <v>33</v>
      </c>
      <c r="D176" s="21"/>
      <c r="E176" s="22"/>
      <c r="F176" s="22"/>
      <c r="G176" s="22"/>
      <c r="H176" s="23"/>
      <c r="I176" s="21"/>
      <c r="J176" s="22"/>
      <c r="K176" s="22"/>
      <c r="L176" s="22"/>
      <c r="M176" s="23"/>
      <c r="N176" s="21"/>
      <c r="O176" s="22"/>
      <c r="P176" s="22"/>
      <c r="Q176" s="22"/>
      <c r="R176" s="23"/>
      <c r="S176" s="21"/>
      <c r="T176" s="22"/>
      <c r="U176" s="22"/>
      <c r="V176" s="22"/>
      <c r="W176" s="22"/>
      <c r="X176" s="39"/>
      <c r="Y176" s="40"/>
      <c r="Z176" s="40"/>
      <c r="AA176" s="40"/>
      <c r="AB176" s="41" t="s">
        <v>174</v>
      </c>
      <c r="AC176" s="39" t="s">
        <v>174</v>
      </c>
      <c r="AD176" s="40" t="s">
        <v>174</v>
      </c>
      <c r="AE176" s="40" t="s">
        <v>174</v>
      </c>
      <c r="AF176" s="40" t="s">
        <v>174</v>
      </c>
      <c r="AG176" s="41" t="s">
        <v>174</v>
      </c>
      <c r="AH176" s="39" t="s">
        <v>174</v>
      </c>
      <c r="AI176" s="40" t="s">
        <v>174</v>
      </c>
      <c r="AJ176" s="40" t="s">
        <v>174</v>
      </c>
      <c r="AK176" s="40" t="s">
        <v>174</v>
      </c>
      <c r="AL176" s="41" t="s">
        <v>174</v>
      </c>
      <c r="AM176" s="39" t="s">
        <v>174</v>
      </c>
      <c r="AN176" s="40" t="s">
        <v>174</v>
      </c>
      <c r="AO176" s="40" t="s">
        <v>174</v>
      </c>
      <c r="AP176" s="40" t="s">
        <v>174</v>
      </c>
      <c r="AQ176" s="41" t="s">
        <v>174</v>
      </c>
      <c r="AS176">
        <f>IFERROR(INDEX('Risk Register'!$A$7:$A$206,169),"")</f>
        <v>0</v>
      </c>
      <c r="AT176">
        <f>IFERROR(INDEX('Risk Register'!$B$7:$B$206,169),"")</f>
        <v>0</v>
      </c>
    </row>
    <row r="177" spans="2:46">
      <c r="B177" s="56"/>
      <c r="C177" s="58"/>
      <c r="D177" s="24"/>
      <c r="E177" s="25"/>
      <c r="F177" s="25"/>
      <c r="G177" s="25"/>
      <c r="H177" s="26"/>
      <c r="I177" s="24"/>
      <c r="J177" s="25"/>
      <c r="K177" s="25"/>
      <c r="L177" s="25"/>
      <c r="M177" s="26"/>
      <c r="N177" s="24"/>
      <c r="O177" s="25"/>
      <c r="P177" s="25"/>
      <c r="Q177" s="25"/>
      <c r="R177" s="26"/>
      <c r="S177" s="24"/>
      <c r="T177" s="25"/>
      <c r="U177" s="25"/>
      <c r="V177" s="25"/>
      <c r="W177" s="25"/>
      <c r="X177" s="42"/>
      <c r="Y177" s="43"/>
      <c r="Z177" s="43"/>
      <c r="AA177" s="43"/>
      <c r="AB177" s="44" t="s">
        <v>174</v>
      </c>
      <c r="AC177" s="42" t="s">
        <v>174</v>
      </c>
      <c r="AD177" s="43" t="s">
        <v>174</v>
      </c>
      <c r="AE177" s="43" t="s">
        <v>174</v>
      </c>
      <c r="AF177" s="43" t="s">
        <v>174</v>
      </c>
      <c r="AG177" s="44" t="s">
        <v>174</v>
      </c>
      <c r="AH177" s="42" t="s">
        <v>174</v>
      </c>
      <c r="AI177" s="43" t="s">
        <v>174</v>
      </c>
      <c r="AJ177" s="43" t="s">
        <v>174</v>
      </c>
      <c r="AK177" s="43" t="s">
        <v>174</v>
      </c>
      <c r="AL177" s="44" t="s">
        <v>174</v>
      </c>
      <c r="AM177" s="42" t="s">
        <v>174</v>
      </c>
      <c r="AN177" s="43" t="s">
        <v>174</v>
      </c>
      <c r="AO177" s="43" t="s">
        <v>174</v>
      </c>
      <c r="AP177" s="43" t="s">
        <v>174</v>
      </c>
      <c r="AQ177" s="44" t="s">
        <v>174</v>
      </c>
      <c r="AS177">
        <f>IFERROR(INDEX('Risk Register'!$A$7:$A$206,170),"")</f>
        <v>0</v>
      </c>
      <c r="AT177">
        <f>IFERROR(INDEX('Risk Register'!$B$7:$B$206,170),"")</f>
        <v>0</v>
      </c>
    </row>
    <row r="178" spans="2:46">
      <c r="B178" s="56"/>
      <c r="C178" s="58"/>
      <c r="D178" s="24"/>
      <c r="E178" s="25"/>
      <c r="F178" s="25"/>
      <c r="G178" s="25"/>
      <c r="H178" s="26"/>
      <c r="I178" s="24"/>
      <c r="J178" s="25"/>
      <c r="K178" s="25"/>
      <c r="L178" s="25"/>
      <c r="M178" s="26"/>
      <c r="N178" s="24"/>
      <c r="O178" s="25"/>
      <c r="P178" s="25"/>
      <c r="Q178" s="25"/>
      <c r="R178" s="26"/>
      <c r="S178" s="24"/>
      <c r="T178" s="25"/>
      <c r="U178" s="25"/>
      <c r="V178" s="25"/>
      <c r="W178" s="25"/>
      <c r="X178" s="42"/>
      <c r="Y178" s="43"/>
      <c r="Z178" s="43"/>
      <c r="AA178" s="43"/>
      <c r="AB178" s="44" t="s">
        <v>174</v>
      </c>
      <c r="AC178" s="42" t="s">
        <v>174</v>
      </c>
      <c r="AD178" s="43" t="s">
        <v>174</v>
      </c>
      <c r="AE178" s="43" t="s">
        <v>174</v>
      </c>
      <c r="AF178" s="43" t="s">
        <v>174</v>
      </c>
      <c r="AG178" s="44" t="s">
        <v>174</v>
      </c>
      <c r="AH178" s="42" t="s">
        <v>174</v>
      </c>
      <c r="AI178" s="43" t="s">
        <v>174</v>
      </c>
      <c r="AJ178" s="43" t="s">
        <v>174</v>
      </c>
      <c r="AK178" s="43" t="s">
        <v>174</v>
      </c>
      <c r="AL178" s="44" t="s">
        <v>174</v>
      </c>
      <c r="AM178" s="42" t="s">
        <v>174</v>
      </c>
      <c r="AN178" s="43" t="s">
        <v>174</v>
      </c>
      <c r="AO178" s="43" t="s">
        <v>174</v>
      </c>
      <c r="AP178" s="43" t="s">
        <v>174</v>
      </c>
      <c r="AQ178" s="44" t="s">
        <v>174</v>
      </c>
      <c r="AS178">
        <f>IFERROR(INDEX('Risk Register'!$A$7:$A$206,171),"")</f>
        <v>0</v>
      </c>
      <c r="AT178">
        <f>IFERROR(INDEX('Risk Register'!$B$7:$B$206,171),"")</f>
        <v>0</v>
      </c>
    </row>
    <row r="179" spans="2:46">
      <c r="B179" s="56"/>
      <c r="C179" s="58"/>
      <c r="D179" s="24"/>
      <c r="E179" s="25"/>
      <c r="F179" s="25"/>
      <c r="G179" s="25"/>
      <c r="H179" s="26"/>
      <c r="I179" s="24"/>
      <c r="J179" s="25"/>
      <c r="K179" s="25"/>
      <c r="L179" s="25"/>
      <c r="M179" s="26"/>
      <c r="N179" s="24"/>
      <c r="O179" s="25"/>
      <c r="P179" s="25"/>
      <c r="Q179" s="25"/>
      <c r="R179" s="26"/>
      <c r="S179" s="24"/>
      <c r="T179" s="25"/>
      <c r="U179" s="25"/>
      <c r="V179" s="25"/>
      <c r="W179" s="25"/>
      <c r="X179" s="42"/>
      <c r="Y179" s="43"/>
      <c r="Z179" s="43"/>
      <c r="AA179" s="43"/>
      <c r="AB179" s="44" t="s">
        <v>174</v>
      </c>
      <c r="AC179" s="42" t="s">
        <v>174</v>
      </c>
      <c r="AD179" s="43" t="s">
        <v>174</v>
      </c>
      <c r="AE179" s="43" t="s">
        <v>174</v>
      </c>
      <c r="AF179" s="43" t="s">
        <v>174</v>
      </c>
      <c r="AG179" s="44" t="s">
        <v>174</v>
      </c>
      <c r="AH179" s="42" t="s">
        <v>174</v>
      </c>
      <c r="AI179" s="43" t="s">
        <v>174</v>
      </c>
      <c r="AJ179" s="43" t="s">
        <v>174</v>
      </c>
      <c r="AK179" s="43" t="s">
        <v>174</v>
      </c>
      <c r="AL179" s="44" t="s">
        <v>174</v>
      </c>
      <c r="AM179" s="42" t="s">
        <v>174</v>
      </c>
      <c r="AN179" s="43" t="s">
        <v>174</v>
      </c>
      <c r="AO179" s="43" t="s">
        <v>174</v>
      </c>
      <c r="AP179" s="43" t="s">
        <v>174</v>
      </c>
      <c r="AQ179" s="44" t="s">
        <v>174</v>
      </c>
      <c r="AS179">
        <f>IFERROR(INDEX('Risk Register'!$A$7:$A$206,172),"")</f>
        <v>0</v>
      </c>
      <c r="AT179">
        <f>IFERROR(INDEX('Risk Register'!$B$7:$B$206,172),"")</f>
        <v>0</v>
      </c>
    </row>
    <row r="180" spans="2:46">
      <c r="B180" s="56"/>
      <c r="C180" s="58"/>
      <c r="D180" s="27"/>
      <c r="E180" s="28"/>
      <c r="F180" s="28"/>
      <c r="G180" s="28"/>
      <c r="H180" s="29"/>
      <c r="I180" s="27"/>
      <c r="J180" s="28"/>
      <c r="K180" s="28"/>
      <c r="L180" s="28"/>
      <c r="M180" s="29"/>
      <c r="N180" s="27"/>
      <c r="O180" s="28"/>
      <c r="P180" s="28"/>
      <c r="Q180" s="28"/>
      <c r="R180" s="29"/>
      <c r="S180" s="27"/>
      <c r="T180" s="28"/>
      <c r="U180" s="28"/>
      <c r="V180" s="28"/>
      <c r="W180" s="28"/>
      <c r="X180" s="45"/>
      <c r="Y180" s="46"/>
      <c r="Z180" s="46"/>
      <c r="AA180" s="46"/>
      <c r="AB180" s="47" t="s">
        <v>174</v>
      </c>
      <c r="AC180" s="45" t="s">
        <v>174</v>
      </c>
      <c r="AD180" s="46" t="s">
        <v>174</v>
      </c>
      <c r="AE180" s="46" t="s">
        <v>174</v>
      </c>
      <c r="AF180" s="46" t="s">
        <v>174</v>
      </c>
      <c r="AG180" s="47" t="s">
        <v>174</v>
      </c>
      <c r="AH180" s="45" t="s">
        <v>174</v>
      </c>
      <c r="AI180" s="46" t="s">
        <v>174</v>
      </c>
      <c r="AJ180" s="46" t="s">
        <v>174</v>
      </c>
      <c r="AK180" s="46" t="s">
        <v>174</v>
      </c>
      <c r="AL180" s="47" t="s">
        <v>174</v>
      </c>
      <c r="AM180" s="45" t="s">
        <v>174</v>
      </c>
      <c r="AN180" s="46" t="s">
        <v>174</v>
      </c>
      <c r="AO180" s="46" t="s">
        <v>174</v>
      </c>
      <c r="AP180" s="46" t="s">
        <v>174</v>
      </c>
      <c r="AQ180" s="47" t="s">
        <v>174</v>
      </c>
      <c r="AS180">
        <f>IFERROR(INDEX('Risk Register'!$A$7:$A$206,173),"")</f>
        <v>0</v>
      </c>
      <c r="AT180">
        <f>IFERROR(INDEX('Risk Register'!$B$7:$B$206,173),"")</f>
        <v>0</v>
      </c>
    </row>
    <row r="181" spans="2:46">
      <c r="B181" s="56"/>
      <c r="C181" s="58" t="s">
        <v>34</v>
      </c>
      <c r="D181" s="21"/>
      <c r="E181" s="22"/>
      <c r="F181" s="22"/>
      <c r="G181" s="22"/>
      <c r="H181" s="23"/>
      <c r="I181" s="21"/>
      <c r="J181" s="22"/>
      <c r="K181" s="22"/>
      <c r="L181" s="22"/>
      <c r="M181" s="23"/>
      <c r="N181" s="21"/>
      <c r="O181" s="22"/>
      <c r="P181" s="22"/>
      <c r="Q181" s="22"/>
      <c r="R181" s="23"/>
      <c r="S181" s="21"/>
      <c r="T181" s="22"/>
      <c r="U181" s="22"/>
      <c r="V181" s="22"/>
      <c r="W181" s="23"/>
      <c r="X181" s="21"/>
      <c r="Y181" s="22"/>
      <c r="Z181" s="22"/>
      <c r="AA181" s="22"/>
      <c r="AB181" s="23" t="s">
        <v>174</v>
      </c>
      <c r="AC181" s="39" t="s">
        <v>174</v>
      </c>
      <c r="AD181" s="40" t="s">
        <v>174</v>
      </c>
      <c r="AE181" s="40" t="s">
        <v>174</v>
      </c>
      <c r="AF181" s="40" t="s">
        <v>174</v>
      </c>
      <c r="AG181" s="41" t="s">
        <v>174</v>
      </c>
      <c r="AH181" s="39" t="s">
        <v>174</v>
      </c>
      <c r="AI181" s="40" t="s">
        <v>174</v>
      </c>
      <c r="AJ181" s="40" t="s">
        <v>174</v>
      </c>
      <c r="AK181" s="40" t="s">
        <v>174</v>
      </c>
      <c r="AL181" s="41" t="s">
        <v>174</v>
      </c>
      <c r="AM181" s="39" t="s">
        <v>174</v>
      </c>
      <c r="AN181" s="40" t="s">
        <v>174</v>
      </c>
      <c r="AO181" s="40" t="s">
        <v>174</v>
      </c>
      <c r="AP181" s="40" t="s">
        <v>174</v>
      </c>
      <c r="AQ181" s="41" t="s">
        <v>174</v>
      </c>
      <c r="AS181">
        <f>IFERROR(INDEX('Risk Register'!$A$7:$A$206,174),"")</f>
        <v>0</v>
      </c>
      <c r="AT181">
        <f>IFERROR(INDEX('Risk Register'!$B$7:$B$206,174),"")</f>
        <v>0</v>
      </c>
    </row>
    <row r="182" spans="2:46">
      <c r="B182" s="56"/>
      <c r="C182" s="58"/>
      <c r="D182" s="24"/>
      <c r="E182" s="25"/>
      <c r="F182" s="25"/>
      <c r="G182" s="25"/>
      <c r="H182" s="26"/>
      <c r="I182" s="24"/>
      <c r="J182" s="25"/>
      <c r="K182" s="25"/>
      <c r="L182" s="25"/>
      <c r="M182" s="26"/>
      <c r="N182" s="24"/>
      <c r="O182" s="25"/>
      <c r="P182" s="25"/>
      <c r="Q182" s="25"/>
      <c r="R182" s="26"/>
      <c r="S182" s="24"/>
      <c r="T182" s="25"/>
      <c r="U182" s="25"/>
      <c r="V182" s="25"/>
      <c r="W182" s="26"/>
      <c r="X182" s="24"/>
      <c r="Y182" s="25"/>
      <c r="Z182" s="25"/>
      <c r="AA182" s="25"/>
      <c r="AB182" s="26" t="s">
        <v>174</v>
      </c>
      <c r="AC182" s="42" t="s">
        <v>174</v>
      </c>
      <c r="AD182" s="43" t="s">
        <v>174</v>
      </c>
      <c r="AE182" s="43" t="s">
        <v>174</v>
      </c>
      <c r="AF182" s="43" t="s">
        <v>174</v>
      </c>
      <c r="AG182" s="44" t="s">
        <v>174</v>
      </c>
      <c r="AH182" s="42" t="s">
        <v>174</v>
      </c>
      <c r="AI182" s="43" t="s">
        <v>174</v>
      </c>
      <c r="AJ182" s="43" t="s">
        <v>174</v>
      </c>
      <c r="AK182" s="43" t="s">
        <v>174</v>
      </c>
      <c r="AL182" s="44" t="s">
        <v>174</v>
      </c>
      <c r="AM182" s="42" t="s">
        <v>174</v>
      </c>
      <c r="AN182" s="43" t="s">
        <v>174</v>
      </c>
      <c r="AO182" s="43" t="s">
        <v>174</v>
      </c>
      <c r="AP182" s="43" t="s">
        <v>174</v>
      </c>
      <c r="AQ182" s="44" t="s">
        <v>174</v>
      </c>
      <c r="AS182">
        <f>IFERROR(INDEX('Risk Register'!$A$7:$A$206,175),"")</f>
        <v>0</v>
      </c>
      <c r="AT182">
        <f>IFERROR(INDEX('Risk Register'!$B$7:$B$206,175),"")</f>
        <v>0</v>
      </c>
    </row>
    <row r="183" spans="2:46">
      <c r="B183" s="56"/>
      <c r="C183" s="58"/>
      <c r="D183" s="24"/>
      <c r="E183" s="25"/>
      <c r="F183" s="25"/>
      <c r="G183" s="25"/>
      <c r="H183" s="26"/>
      <c r="I183" s="24"/>
      <c r="J183" s="25"/>
      <c r="K183" s="25"/>
      <c r="L183" s="25"/>
      <c r="M183" s="26"/>
      <c r="N183" s="24"/>
      <c r="O183" s="25"/>
      <c r="P183" s="25"/>
      <c r="Q183" s="25"/>
      <c r="R183" s="26"/>
      <c r="S183" s="24"/>
      <c r="T183" s="25"/>
      <c r="U183" s="25"/>
      <c r="V183" s="25"/>
      <c r="W183" s="26"/>
      <c r="X183" s="24"/>
      <c r="Y183" s="25"/>
      <c r="Z183" s="25"/>
      <c r="AA183" s="25"/>
      <c r="AB183" s="26" t="s">
        <v>174</v>
      </c>
      <c r="AC183" s="42" t="s">
        <v>174</v>
      </c>
      <c r="AD183" s="43" t="s">
        <v>174</v>
      </c>
      <c r="AE183" s="43" t="s">
        <v>174</v>
      </c>
      <c r="AF183" s="43" t="s">
        <v>174</v>
      </c>
      <c r="AG183" s="44" t="s">
        <v>174</v>
      </c>
      <c r="AH183" s="42" t="s">
        <v>174</v>
      </c>
      <c r="AI183" s="43" t="s">
        <v>174</v>
      </c>
      <c r="AJ183" s="43" t="s">
        <v>174</v>
      </c>
      <c r="AK183" s="43" t="s">
        <v>174</v>
      </c>
      <c r="AL183" s="44" t="s">
        <v>174</v>
      </c>
      <c r="AM183" s="42" t="s">
        <v>174</v>
      </c>
      <c r="AN183" s="43" t="s">
        <v>174</v>
      </c>
      <c r="AO183" s="43" t="s">
        <v>174</v>
      </c>
      <c r="AP183" s="43" t="s">
        <v>174</v>
      </c>
      <c r="AQ183" s="44" t="s">
        <v>174</v>
      </c>
      <c r="AS183">
        <f>IFERROR(INDEX('Risk Register'!$A$7:$A$206,176),"")</f>
        <v>0</v>
      </c>
      <c r="AT183">
        <f>IFERROR(INDEX('Risk Register'!$B$7:$B$206,176),"")</f>
        <v>0</v>
      </c>
    </row>
    <row r="184" spans="2:46">
      <c r="B184" s="56"/>
      <c r="C184" s="58"/>
      <c r="D184" s="24"/>
      <c r="E184" s="25"/>
      <c r="F184" s="25"/>
      <c r="G184" s="25"/>
      <c r="H184" s="26"/>
      <c r="I184" s="24"/>
      <c r="J184" s="25"/>
      <c r="K184" s="25"/>
      <c r="L184" s="25"/>
      <c r="M184" s="26"/>
      <c r="N184" s="24"/>
      <c r="O184" s="25"/>
      <c r="P184" s="25"/>
      <c r="Q184" s="25"/>
      <c r="R184" s="26"/>
      <c r="S184" s="24"/>
      <c r="T184" s="25"/>
      <c r="U184" s="25"/>
      <c r="V184" s="25"/>
      <c r="W184" s="26"/>
      <c r="X184" s="24"/>
      <c r="Y184" s="25"/>
      <c r="Z184" s="25"/>
      <c r="AA184" s="25"/>
      <c r="AB184" s="26" t="s">
        <v>174</v>
      </c>
      <c r="AC184" s="42" t="s">
        <v>174</v>
      </c>
      <c r="AD184" s="43" t="s">
        <v>174</v>
      </c>
      <c r="AE184" s="43" t="s">
        <v>174</v>
      </c>
      <c r="AF184" s="43" t="s">
        <v>174</v>
      </c>
      <c r="AG184" s="44" t="s">
        <v>174</v>
      </c>
      <c r="AH184" s="42" t="s">
        <v>174</v>
      </c>
      <c r="AI184" s="43" t="s">
        <v>174</v>
      </c>
      <c r="AJ184" s="43" t="s">
        <v>174</v>
      </c>
      <c r="AK184" s="43" t="s">
        <v>174</v>
      </c>
      <c r="AL184" s="44" t="s">
        <v>174</v>
      </c>
      <c r="AM184" s="42" t="s">
        <v>174</v>
      </c>
      <c r="AN184" s="43" t="s">
        <v>174</v>
      </c>
      <c r="AO184" s="43" t="s">
        <v>174</v>
      </c>
      <c r="AP184" s="43" t="s">
        <v>174</v>
      </c>
      <c r="AQ184" s="44" t="s">
        <v>174</v>
      </c>
      <c r="AS184">
        <f>IFERROR(INDEX('Risk Register'!$A$7:$A$206,177),"")</f>
        <v>0</v>
      </c>
      <c r="AT184">
        <f>IFERROR(INDEX('Risk Register'!$B$7:$B$206,177),"")</f>
        <v>0</v>
      </c>
    </row>
    <row r="185" spans="2:46">
      <c r="B185" s="56"/>
      <c r="C185" s="58"/>
      <c r="D185" s="27"/>
      <c r="E185" s="28"/>
      <c r="F185" s="28"/>
      <c r="G185" s="28"/>
      <c r="H185" s="29"/>
      <c r="I185" s="27"/>
      <c r="J185" s="28"/>
      <c r="K185" s="28"/>
      <c r="L185" s="28"/>
      <c r="M185" s="29"/>
      <c r="N185" s="27"/>
      <c r="O185" s="28"/>
      <c r="P185" s="28"/>
      <c r="Q185" s="28"/>
      <c r="R185" s="29"/>
      <c r="S185" s="27"/>
      <c r="T185" s="28"/>
      <c r="U185" s="28"/>
      <c r="V185" s="28"/>
      <c r="W185" s="29"/>
      <c r="X185" s="27"/>
      <c r="Y185" s="28"/>
      <c r="Z185" s="28"/>
      <c r="AA185" s="28"/>
      <c r="AB185" s="29" t="s">
        <v>174</v>
      </c>
      <c r="AC185" s="45" t="s">
        <v>174</v>
      </c>
      <c r="AD185" s="46" t="s">
        <v>174</v>
      </c>
      <c r="AE185" s="46" t="s">
        <v>174</v>
      </c>
      <c r="AF185" s="46" t="s">
        <v>174</v>
      </c>
      <c r="AG185" s="47" t="s">
        <v>174</v>
      </c>
      <c r="AH185" s="45" t="s">
        <v>174</v>
      </c>
      <c r="AI185" s="46" t="s">
        <v>174</v>
      </c>
      <c r="AJ185" s="46" t="s">
        <v>174</v>
      </c>
      <c r="AK185" s="46" t="s">
        <v>174</v>
      </c>
      <c r="AL185" s="47" t="s">
        <v>174</v>
      </c>
      <c r="AM185" s="45" t="s">
        <v>174</v>
      </c>
      <c r="AN185" s="46" t="s">
        <v>174</v>
      </c>
      <c r="AO185" s="46" t="s">
        <v>174</v>
      </c>
      <c r="AP185" s="46" t="s">
        <v>174</v>
      </c>
      <c r="AQ185" s="47" t="s">
        <v>174</v>
      </c>
      <c r="AS185">
        <f>IFERROR(INDEX('Risk Register'!$A$7:$A$206,178),"")</f>
        <v>0</v>
      </c>
      <c r="AT185">
        <f>IFERROR(INDEX('Risk Register'!$B$7:$B$206,178),"")</f>
        <v>0</v>
      </c>
    </row>
    <row r="186" spans="2:46">
      <c r="B186" s="56"/>
      <c r="C186" s="58" t="s">
        <v>24</v>
      </c>
      <c r="D186" s="21"/>
      <c r="E186" s="22"/>
      <c r="F186" s="22"/>
      <c r="G186" s="22"/>
      <c r="H186" s="23"/>
      <c r="I186" s="21"/>
      <c r="J186" s="22"/>
      <c r="K186" s="22"/>
      <c r="L186" s="22"/>
      <c r="M186" s="23"/>
      <c r="N186" s="21"/>
      <c r="O186" s="22"/>
      <c r="P186" s="22"/>
      <c r="Q186" s="22"/>
      <c r="R186" s="23"/>
      <c r="S186" s="21"/>
      <c r="T186" s="22"/>
      <c r="U186" s="22"/>
      <c r="V186" s="22"/>
      <c r="W186" s="23"/>
      <c r="X186" s="21"/>
      <c r="Y186" s="22"/>
      <c r="Z186" s="22"/>
      <c r="AA186" s="22"/>
      <c r="AB186" s="23" t="s">
        <v>174</v>
      </c>
      <c r="AC186" s="21" t="s">
        <v>174</v>
      </c>
      <c r="AD186" s="22" t="s">
        <v>174</v>
      </c>
      <c r="AE186" s="22" t="s">
        <v>174</v>
      </c>
      <c r="AF186" s="22" t="s">
        <v>174</v>
      </c>
      <c r="AG186" s="23" t="s">
        <v>174</v>
      </c>
      <c r="AH186" s="39" t="s">
        <v>174</v>
      </c>
      <c r="AI186" s="40" t="s">
        <v>174</v>
      </c>
      <c r="AJ186" s="40" t="s">
        <v>174</v>
      </c>
      <c r="AK186" s="40" t="s">
        <v>174</v>
      </c>
      <c r="AL186" s="41" t="s">
        <v>174</v>
      </c>
      <c r="AM186" s="39" t="s">
        <v>174</v>
      </c>
      <c r="AN186" s="40" t="s">
        <v>174</v>
      </c>
      <c r="AO186" s="40" t="s">
        <v>174</v>
      </c>
      <c r="AP186" s="40" t="s">
        <v>174</v>
      </c>
      <c r="AQ186" s="41" t="s">
        <v>174</v>
      </c>
      <c r="AS186">
        <f>IFERROR(INDEX('Risk Register'!$A$7:$A$206,179),"")</f>
        <v>0</v>
      </c>
      <c r="AT186">
        <f>IFERROR(INDEX('Risk Register'!$B$7:$B$206,179),"")</f>
        <v>0</v>
      </c>
    </row>
    <row r="187" spans="2:46">
      <c r="B187" s="56"/>
      <c r="C187" s="58"/>
      <c r="D187" s="24"/>
      <c r="E187" s="25"/>
      <c r="F187" s="25"/>
      <c r="G187" s="25"/>
      <c r="H187" s="26"/>
      <c r="I187" s="24"/>
      <c r="J187" s="25"/>
      <c r="K187" s="25"/>
      <c r="L187" s="25"/>
      <c r="M187" s="26"/>
      <c r="N187" s="24"/>
      <c r="O187" s="25"/>
      <c r="P187" s="25"/>
      <c r="Q187" s="25"/>
      <c r="R187" s="26"/>
      <c r="S187" s="24"/>
      <c r="T187" s="25"/>
      <c r="U187" s="25"/>
      <c r="V187" s="25"/>
      <c r="W187" s="26"/>
      <c r="X187" s="24"/>
      <c r="Y187" s="25"/>
      <c r="Z187" s="25"/>
      <c r="AA187" s="25"/>
      <c r="AB187" s="26" t="s">
        <v>174</v>
      </c>
      <c r="AC187" s="24" t="s">
        <v>174</v>
      </c>
      <c r="AD187" s="25" t="s">
        <v>174</v>
      </c>
      <c r="AE187" s="25" t="s">
        <v>174</v>
      </c>
      <c r="AF187" s="25" t="s">
        <v>174</v>
      </c>
      <c r="AG187" s="26" t="s">
        <v>174</v>
      </c>
      <c r="AH187" s="42" t="s">
        <v>174</v>
      </c>
      <c r="AI187" s="43" t="s">
        <v>174</v>
      </c>
      <c r="AJ187" s="43" t="s">
        <v>174</v>
      </c>
      <c r="AK187" s="43" t="s">
        <v>174</v>
      </c>
      <c r="AL187" s="44" t="s">
        <v>174</v>
      </c>
      <c r="AM187" s="42" t="s">
        <v>174</v>
      </c>
      <c r="AN187" s="43" t="s">
        <v>174</v>
      </c>
      <c r="AO187" s="43" t="s">
        <v>174</v>
      </c>
      <c r="AP187" s="43" t="s">
        <v>174</v>
      </c>
      <c r="AQ187" s="44" t="s">
        <v>174</v>
      </c>
      <c r="AS187">
        <f>IFERROR(INDEX('Risk Register'!$A$7:$A$206,180),"")</f>
        <v>0</v>
      </c>
      <c r="AT187">
        <f>IFERROR(INDEX('Risk Register'!$B$7:$B$206,180),"")</f>
        <v>0</v>
      </c>
    </row>
    <row r="188" spans="2:46">
      <c r="B188" s="56"/>
      <c r="C188" s="58"/>
      <c r="D188" s="24" t="s">
        <v>174</v>
      </c>
      <c r="E188" s="25" t="s">
        <v>174</v>
      </c>
      <c r="F188" s="25" t="s">
        <v>174</v>
      </c>
      <c r="G188" s="25" t="s">
        <v>174</v>
      </c>
      <c r="H188" s="26" t="s">
        <v>174</v>
      </c>
      <c r="I188" s="24" t="s">
        <v>174</v>
      </c>
      <c r="J188" s="25" t="s">
        <v>174</v>
      </c>
      <c r="K188" s="25" t="s">
        <v>174</v>
      </c>
      <c r="L188" s="25" t="s">
        <v>174</v>
      </c>
      <c r="M188" s="26" t="s">
        <v>174</v>
      </c>
      <c r="N188" s="24" t="s">
        <v>174</v>
      </c>
      <c r="O188" s="25" t="s">
        <v>174</v>
      </c>
      <c r="P188" s="25" t="s">
        <v>174</v>
      </c>
      <c r="Q188" s="25" t="s">
        <v>174</v>
      </c>
      <c r="R188" s="26" t="s">
        <v>174</v>
      </c>
      <c r="S188" s="24" t="s">
        <v>174</v>
      </c>
      <c r="T188" s="25" t="s">
        <v>174</v>
      </c>
      <c r="U188" s="25" t="s">
        <v>174</v>
      </c>
      <c r="V188" s="25" t="s">
        <v>174</v>
      </c>
      <c r="W188" s="26" t="s">
        <v>174</v>
      </c>
      <c r="X188" s="24" t="s">
        <v>174</v>
      </c>
      <c r="Y188" s="25" t="s">
        <v>174</v>
      </c>
      <c r="Z188" s="25" t="s">
        <v>174</v>
      </c>
      <c r="AA188" s="25" t="s">
        <v>174</v>
      </c>
      <c r="AB188" s="26" t="s">
        <v>174</v>
      </c>
      <c r="AC188" s="24" t="s">
        <v>174</v>
      </c>
      <c r="AD188" s="25" t="s">
        <v>174</v>
      </c>
      <c r="AE188" s="25" t="s">
        <v>174</v>
      </c>
      <c r="AF188" s="25" t="s">
        <v>174</v>
      </c>
      <c r="AG188" s="26" t="s">
        <v>174</v>
      </c>
      <c r="AH188" s="42" t="s">
        <v>174</v>
      </c>
      <c r="AI188" s="43" t="s">
        <v>174</v>
      </c>
      <c r="AJ188" s="43" t="s">
        <v>174</v>
      </c>
      <c r="AK188" s="43" t="s">
        <v>174</v>
      </c>
      <c r="AL188" s="44" t="s">
        <v>174</v>
      </c>
      <c r="AM188" s="42" t="s">
        <v>174</v>
      </c>
      <c r="AN188" s="43" t="s">
        <v>174</v>
      </c>
      <c r="AO188" s="43" t="s">
        <v>174</v>
      </c>
      <c r="AP188" s="43" t="s">
        <v>174</v>
      </c>
      <c r="AQ188" s="44" t="s">
        <v>174</v>
      </c>
      <c r="AS188">
        <f>IFERROR(INDEX('Risk Register'!$A$7:$A$206,181),"")</f>
        <v>0</v>
      </c>
      <c r="AT188">
        <f>IFERROR(INDEX('Risk Register'!$B$7:$B$206,181),"")</f>
        <v>0</v>
      </c>
    </row>
    <row r="189" spans="2:46">
      <c r="B189" s="56"/>
      <c r="C189" s="58"/>
      <c r="D189" s="24" t="s">
        <v>174</v>
      </c>
      <c r="E189" s="25" t="s">
        <v>174</v>
      </c>
      <c r="F189" s="25" t="s">
        <v>174</v>
      </c>
      <c r="G189" s="25" t="s">
        <v>174</v>
      </c>
      <c r="H189" s="26" t="s">
        <v>174</v>
      </c>
      <c r="I189" s="24" t="s">
        <v>174</v>
      </c>
      <c r="J189" s="25" t="s">
        <v>174</v>
      </c>
      <c r="K189" s="25" t="s">
        <v>174</v>
      </c>
      <c r="L189" s="25" t="s">
        <v>174</v>
      </c>
      <c r="M189" s="26" t="s">
        <v>174</v>
      </c>
      <c r="N189" s="24" t="s">
        <v>174</v>
      </c>
      <c r="O189" s="25" t="s">
        <v>174</v>
      </c>
      <c r="P189" s="25" t="s">
        <v>174</v>
      </c>
      <c r="Q189" s="25" t="s">
        <v>174</v>
      </c>
      <c r="R189" s="26" t="s">
        <v>174</v>
      </c>
      <c r="S189" s="24" t="s">
        <v>174</v>
      </c>
      <c r="T189" s="25" t="s">
        <v>174</v>
      </c>
      <c r="U189" s="25" t="s">
        <v>174</v>
      </c>
      <c r="V189" s="25" t="s">
        <v>174</v>
      </c>
      <c r="W189" s="26" t="s">
        <v>174</v>
      </c>
      <c r="X189" s="24" t="s">
        <v>174</v>
      </c>
      <c r="Y189" s="25" t="s">
        <v>174</v>
      </c>
      <c r="Z189" s="25" t="s">
        <v>174</v>
      </c>
      <c r="AA189" s="25" t="s">
        <v>174</v>
      </c>
      <c r="AB189" s="26" t="s">
        <v>174</v>
      </c>
      <c r="AC189" s="24" t="s">
        <v>174</v>
      </c>
      <c r="AD189" s="25" t="s">
        <v>174</v>
      </c>
      <c r="AE189" s="25" t="s">
        <v>174</v>
      </c>
      <c r="AF189" s="25" t="s">
        <v>174</v>
      </c>
      <c r="AG189" s="26" t="s">
        <v>174</v>
      </c>
      <c r="AH189" s="42" t="s">
        <v>174</v>
      </c>
      <c r="AI189" s="43" t="s">
        <v>174</v>
      </c>
      <c r="AJ189" s="43" t="s">
        <v>174</v>
      </c>
      <c r="AK189" s="43" t="s">
        <v>174</v>
      </c>
      <c r="AL189" s="44" t="s">
        <v>174</v>
      </c>
      <c r="AM189" s="42" t="s">
        <v>174</v>
      </c>
      <c r="AN189" s="43" t="s">
        <v>174</v>
      </c>
      <c r="AO189" s="43" t="s">
        <v>174</v>
      </c>
      <c r="AP189" s="43" t="s">
        <v>174</v>
      </c>
      <c r="AQ189" s="44" t="s">
        <v>174</v>
      </c>
      <c r="AS189">
        <f>IFERROR(INDEX('Risk Register'!$A$7:$A$206,182),"")</f>
        <v>0</v>
      </c>
      <c r="AT189">
        <f>IFERROR(INDEX('Risk Register'!$B$7:$B$206,182),"")</f>
        <v>0</v>
      </c>
    </row>
    <row r="190" spans="2:46">
      <c r="B190" s="56"/>
      <c r="C190" s="58"/>
      <c r="D190" s="27" t="s">
        <v>174</v>
      </c>
      <c r="E190" s="28" t="s">
        <v>174</v>
      </c>
      <c r="F190" s="28" t="s">
        <v>174</v>
      </c>
      <c r="G190" s="28" t="s">
        <v>174</v>
      </c>
      <c r="H190" s="29" t="s">
        <v>174</v>
      </c>
      <c r="I190" s="27" t="s">
        <v>174</v>
      </c>
      <c r="J190" s="28" t="s">
        <v>174</v>
      </c>
      <c r="K190" s="28" t="s">
        <v>174</v>
      </c>
      <c r="L190" s="28" t="s">
        <v>174</v>
      </c>
      <c r="M190" s="29" t="s">
        <v>174</v>
      </c>
      <c r="N190" s="27" t="s">
        <v>174</v>
      </c>
      <c r="O190" s="28" t="s">
        <v>174</v>
      </c>
      <c r="P190" s="28" t="s">
        <v>174</v>
      </c>
      <c r="Q190" s="28" t="s">
        <v>174</v>
      </c>
      <c r="R190" s="29" t="s">
        <v>174</v>
      </c>
      <c r="S190" s="27" t="s">
        <v>174</v>
      </c>
      <c r="T190" s="28" t="s">
        <v>174</v>
      </c>
      <c r="U190" s="28" t="s">
        <v>174</v>
      </c>
      <c r="V190" s="28" t="s">
        <v>174</v>
      </c>
      <c r="W190" s="29" t="s">
        <v>174</v>
      </c>
      <c r="X190" s="27" t="s">
        <v>174</v>
      </c>
      <c r="Y190" s="28" t="s">
        <v>174</v>
      </c>
      <c r="Z190" s="28" t="s">
        <v>174</v>
      </c>
      <c r="AA190" s="28" t="s">
        <v>174</v>
      </c>
      <c r="AB190" s="29" t="s">
        <v>174</v>
      </c>
      <c r="AC190" s="27" t="s">
        <v>174</v>
      </c>
      <c r="AD190" s="28" t="s">
        <v>174</v>
      </c>
      <c r="AE190" s="28" t="s">
        <v>174</v>
      </c>
      <c r="AF190" s="28" t="s">
        <v>174</v>
      </c>
      <c r="AG190" s="29" t="s">
        <v>174</v>
      </c>
      <c r="AH190" s="45" t="s">
        <v>174</v>
      </c>
      <c r="AI190" s="46" t="s">
        <v>174</v>
      </c>
      <c r="AJ190" s="46" t="s">
        <v>174</v>
      </c>
      <c r="AK190" s="46" t="s">
        <v>174</v>
      </c>
      <c r="AL190" s="47" t="s">
        <v>174</v>
      </c>
      <c r="AM190" s="45" t="s">
        <v>174</v>
      </c>
      <c r="AN190" s="46" t="s">
        <v>174</v>
      </c>
      <c r="AO190" s="46" t="s">
        <v>174</v>
      </c>
      <c r="AP190" s="46" t="s">
        <v>174</v>
      </c>
      <c r="AQ190" s="47" t="s">
        <v>174</v>
      </c>
      <c r="AS190">
        <f>IFERROR(INDEX('Risk Register'!$A$7:$A$206,183),"")</f>
        <v>0</v>
      </c>
      <c r="AT190">
        <f>IFERROR(INDEX('Risk Register'!$B$7:$B$206,183),"")</f>
        <v>0</v>
      </c>
    </row>
    <row r="191" spans="2:46">
      <c r="AS191">
        <f>IFERROR(INDEX('Risk Register'!$A$7:$A$206,184),"")</f>
        <v>0</v>
      </c>
      <c r="AT191">
        <f>IFERROR(INDEX('Risk Register'!$B$7:$B$206,184),"")</f>
        <v>0</v>
      </c>
    </row>
    <row r="192" spans="2:46">
      <c r="AS192">
        <f>IFERROR(INDEX('Risk Register'!$A$7:$A$206,185),"")</f>
        <v>0</v>
      </c>
      <c r="AT192">
        <f>IFERROR(INDEX('Risk Register'!$B$7:$B$206,185),"")</f>
        <v>0</v>
      </c>
    </row>
    <row r="193" spans="45:46">
      <c r="AS193">
        <f>IFERROR(INDEX('Risk Register'!$A$7:$A$206,186),"")</f>
        <v>0</v>
      </c>
      <c r="AT193">
        <f>IFERROR(INDEX('Risk Register'!$B$7:$B$206,186),"")</f>
        <v>0</v>
      </c>
    </row>
    <row r="194" spans="45:46">
      <c r="AS194">
        <f>IFERROR(INDEX('Risk Register'!$A$7:$A$206,187),"")</f>
        <v>0</v>
      </c>
      <c r="AT194">
        <f>IFERROR(INDEX('Risk Register'!$B$7:$B$206,187),"")</f>
        <v>0</v>
      </c>
    </row>
    <row r="195" spans="45:46">
      <c r="AS195">
        <f>IFERROR(INDEX('Risk Register'!$A$7:$A$206,188),"")</f>
        <v>0</v>
      </c>
      <c r="AT195">
        <f>IFERROR(INDEX('Risk Register'!$B$7:$B$206,188),"")</f>
        <v>0</v>
      </c>
    </row>
    <row r="196" spans="45:46">
      <c r="AS196">
        <f>IFERROR(INDEX('Risk Register'!$A$7:$A$206,189),"")</f>
        <v>0</v>
      </c>
      <c r="AT196">
        <f>IFERROR(INDEX('Risk Register'!$B$7:$B$206,189),"")</f>
        <v>0</v>
      </c>
    </row>
    <row r="197" spans="45:46">
      <c r="AS197">
        <f>IFERROR(INDEX('Risk Register'!$A$7:$A$206,190),"")</f>
        <v>0</v>
      </c>
      <c r="AT197">
        <f>IFERROR(INDEX('Risk Register'!$B$7:$B$206,190),"")</f>
        <v>0</v>
      </c>
    </row>
    <row r="198" spans="45:46">
      <c r="AS198">
        <f>IFERROR(INDEX('Risk Register'!$A$7:$A$206,191),"")</f>
        <v>0</v>
      </c>
      <c r="AT198">
        <f>IFERROR(INDEX('Risk Register'!$B$7:$B$206,191),"")</f>
        <v>0</v>
      </c>
    </row>
    <row r="199" spans="45:46">
      <c r="AS199">
        <f>IFERROR(INDEX('Risk Register'!$A$7:$A$206,192),"")</f>
        <v>0</v>
      </c>
      <c r="AT199">
        <f>IFERROR(INDEX('Risk Register'!$B$7:$B$206,192),"")</f>
        <v>0</v>
      </c>
    </row>
    <row r="200" spans="45:46">
      <c r="AS200">
        <f>IFERROR(INDEX('Risk Register'!$A$7:$A$206,193),"")</f>
        <v>0</v>
      </c>
      <c r="AT200">
        <f>IFERROR(INDEX('Risk Register'!$B$7:$B$206,193),"")</f>
        <v>0</v>
      </c>
    </row>
    <row r="201" spans="45:46">
      <c r="AS201">
        <f>IFERROR(INDEX('Risk Register'!$A$7:$A$206,194),"")</f>
        <v>0</v>
      </c>
      <c r="AT201">
        <f>IFERROR(INDEX('Risk Register'!$B$7:$B$206,194),"")</f>
        <v>0</v>
      </c>
    </row>
    <row r="202" spans="45:46">
      <c r="AS202">
        <f>IFERROR(INDEX('Risk Register'!$A$7:$A$206,195),"")</f>
        <v>0</v>
      </c>
      <c r="AT202">
        <f>IFERROR(INDEX('Risk Register'!$B$7:$B$206,195),"")</f>
        <v>0</v>
      </c>
    </row>
    <row r="203" spans="45:46">
      <c r="AS203">
        <f>IFERROR(INDEX('Risk Register'!$A$7:$A$206,196),"")</f>
        <v>0</v>
      </c>
      <c r="AT203">
        <f>IFERROR(INDEX('Risk Register'!$B$7:$B$206,196),"")</f>
        <v>0</v>
      </c>
    </row>
    <row r="204" spans="45:46">
      <c r="AS204">
        <f>IFERROR(INDEX('Risk Register'!$A$7:$A$206,197),"")</f>
        <v>0</v>
      </c>
      <c r="AT204">
        <f>IFERROR(INDEX('Risk Register'!$B$7:$B$206,197),"")</f>
        <v>0</v>
      </c>
    </row>
    <row r="205" spans="45:46">
      <c r="AS205">
        <f>IFERROR(INDEX('Risk Register'!$A$7:$A$206,198),"")</f>
        <v>0</v>
      </c>
      <c r="AT205">
        <f>IFERROR(INDEX('Risk Register'!$B$7:$B$206,198),"")</f>
        <v>0</v>
      </c>
    </row>
    <row r="206" spans="45:46">
      <c r="AS206">
        <f>IFERROR(INDEX('Risk Register'!$A$7:$A$206,199),"")</f>
        <v>0</v>
      </c>
      <c r="AT206">
        <f>IFERROR(INDEX('Risk Register'!$B$7:$B$206,199),"")</f>
        <v>0</v>
      </c>
    </row>
    <row r="207" spans="45:46">
      <c r="AS207">
        <f>IFERROR(INDEX('Risk Register'!$A$7:$A$206,200),"")</f>
        <v>0</v>
      </c>
      <c r="AT207">
        <f>IFERROR(INDEX('Risk Register'!$B$7:$B$206,200),"")</f>
        <v>0</v>
      </c>
    </row>
    <row r="208" spans="45:46">
      <c r="AS208" t="str">
        <f>IFERROR(INDEX('Risk Register'!$A$7:$A$206,201),"")</f>
        <v/>
      </c>
      <c r="AT208" t="str">
        <f>IFERROR(INDEX('Risk Register'!$B$7:$B$206,201),"")</f>
        <v/>
      </c>
    </row>
  </sheetData>
  <mergeCells count="56">
    <mergeCell ref="A1:AT1"/>
    <mergeCell ref="D5:AQ5"/>
    <mergeCell ref="D6:AQ6"/>
    <mergeCell ref="D7:H7"/>
    <mergeCell ref="I7:M7"/>
    <mergeCell ref="N7:R7"/>
    <mergeCell ref="S7:W7"/>
    <mergeCell ref="X7:AB7"/>
    <mergeCell ref="AC7:AG7"/>
    <mergeCell ref="AH7:AL7"/>
    <mergeCell ref="AM7:AQ7"/>
    <mergeCell ref="C33:C37"/>
    <mergeCell ref="C38:C42"/>
    <mergeCell ref="C43:C47"/>
    <mergeCell ref="B8:B47"/>
    <mergeCell ref="C8:C12"/>
    <mergeCell ref="C13:C17"/>
    <mergeCell ref="C18:C22"/>
    <mergeCell ref="C23:C27"/>
    <mergeCell ref="C28:C32"/>
    <mergeCell ref="C90:C94"/>
    <mergeCell ref="C95:C99"/>
    <mergeCell ref="C100:C104"/>
    <mergeCell ref="D63:AQ63"/>
    <mergeCell ref="D64:H64"/>
    <mergeCell ref="I64:M64"/>
    <mergeCell ref="N64:R64"/>
    <mergeCell ref="S64:W64"/>
    <mergeCell ref="X64:AB64"/>
    <mergeCell ref="AC64:AG64"/>
    <mergeCell ref="AH64:AL64"/>
    <mergeCell ref="AM64:AQ64"/>
    <mergeCell ref="C65:C69"/>
    <mergeCell ref="C70:C74"/>
    <mergeCell ref="C75:C79"/>
    <mergeCell ref="C80:C84"/>
    <mergeCell ref="C85:C89"/>
    <mergeCell ref="D148:AQ148"/>
    <mergeCell ref="D149:AQ149"/>
    <mergeCell ref="D150:H150"/>
    <mergeCell ref="I150:M150"/>
    <mergeCell ref="N150:R150"/>
    <mergeCell ref="S150:W150"/>
    <mergeCell ref="X150:AB150"/>
    <mergeCell ref="AC150:AG150"/>
    <mergeCell ref="AH150:AL150"/>
    <mergeCell ref="AM150:AQ150"/>
    <mergeCell ref="B151:B190"/>
    <mergeCell ref="C151:C155"/>
    <mergeCell ref="C156:C160"/>
    <mergeCell ref="C161:C165"/>
    <mergeCell ref="C166:C170"/>
    <mergeCell ref="C171:C175"/>
    <mergeCell ref="C176:C180"/>
    <mergeCell ref="C181:C185"/>
    <mergeCell ref="C186:C190"/>
  </mergeCells>
  <conditionalFormatting sqref="D8:AQ47">
    <cfRule type="expression" dxfId="2" priority="3">
      <formula>LEN(D8)&gt;0</formula>
    </cfRule>
  </conditionalFormatting>
  <conditionalFormatting sqref="D65:AQ104">
    <cfRule type="expression" dxfId="1" priority="2">
      <formula>LEN(D65)&gt;0</formula>
    </cfRule>
  </conditionalFormatting>
  <conditionalFormatting sqref="D151:AQ190">
    <cfRule type="expression" dxfId="0" priority="1">
      <formula>LEN(D151)&gt;0</formula>
    </cfRule>
  </conditionalFormatting>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D375D11-0C56-4EC4-99AA-5520E9EE7AB1}">
          <x14:formula1>
            <xm:f>Lists!$C$2:$C$3</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workbookViewId="0"/>
  </sheetViews>
  <sheetFormatPr defaultRowHeight="14.25"/>
  <cols>
    <col min="3" max="3" width="14.5" bestFit="1" customWidth="1"/>
    <col min="5" max="5" width="80" customWidth="1"/>
  </cols>
  <sheetData>
    <row r="1" spans="1:5" ht="30">
      <c r="A1" s="1" t="s">
        <v>35</v>
      </c>
      <c r="B1" s="1" t="s">
        <v>18</v>
      </c>
      <c r="C1" s="1" t="s">
        <v>36</v>
      </c>
      <c r="E1" t="s">
        <v>37</v>
      </c>
    </row>
    <row r="2" spans="1:5">
      <c r="A2">
        <v>1</v>
      </c>
      <c r="B2" t="s">
        <v>28</v>
      </c>
      <c r="C2" t="s">
        <v>38</v>
      </c>
      <c r="E2" t="s">
        <v>39</v>
      </c>
    </row>
    <row r="3" spans="1:5">
      <c r="A3">
        <v>2</v>
      </c>
      <c r="B3" t="s">
        <v>29</v>
      </c>
      <c r="C3" t="s">
        <v>16</v>
      </c>
      <c r="E3" t="s">
        <v>40</v>
      </c>
    </row>
    <row r="4" spans="1:5">
      <c r="A4">
        <v>3</v>
      </c>
      <c r="B4" t="s">
        <v>30</v>
      </c>
      <c r="E4" t="s">
        <v>41</v>
      </c>
    </row>
    <row r="5" spans="1:5">
      <c r="A5">
        <v>4</v>
      </c>
      <c r="B5" t="s">
        <v>31</v>
      </c>
      <c r="E5" t="s">
        <v>42</v>
      </c>
    </row>
    <row r="6" spans="1:5">
      <c r="A6">
        <v>5</v>
      </c>
      <c r="B6" t="s">
        <v>32</v>
      </c>
      <c r="E6" t="s">
        <v>43</v>
      </c>
    </row>
    <row r="7" spans="1:5">
      <c r="A7">
        <v>6</v>
      </c>
      <c r="B7" t="s">
        <v>33</v>
      </c>
      <c r="E7" t="s">
        <v>44</v>
      </c>
    </row>
    <row r="8" spans="1:5">
      <c r="A8">
        <v>7</v>
      </c>
      <c r="B8" t="s">
        <v>34</v>
      </c>
    </row>
    <row r="9" spans="1:5">
      <c r="A9">
        <v>8</v>
      </c>
      <c r="B9"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C2EFC0DEC44649B2082791F9559BBB" ma:contentTypeVersion="15" ma:contentTypeDescription="Een nieuw document maken." ma:contentTypeScope="" ma:versionID="cfa841b04500fec35c8eb8260f552511">
  <xsd:schema xmlns:xsd="http://www.w3.org/2001/XMLSchema" xmlns:xs="http://www.w3.org/2001/XMLSchema" xmlns:p="http://schemas.microsoft.com/office/2006/metadata/properties" xmlns:ns2="8e8d1305-7e0b-4c86-9cf5-5ba13b0d5617" xmlns:ns3="1d4209b9-5ab8-4405-b9bd-a4f339d4a74a" targetNamespace="http://schemas.microsoft.com/office/2006/metadata/properties" ma:root="true" ma:fieldsID="ccf3381514948a6744e4884d95531a24" ns2:_="" ns3:_="">
    <xsd:import namespace="8e8d1305-7e0b-4c86-9cf5-5ba13b0d5617"/>
    <xsd:import namespace="1d4209b9-5ab8-4405-b9bd-a4f339d4a7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d1305-7e0b-4c86-9cf5-5ba13b0d56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7fd055c-1720-4c5e-b2b2-5a45d457553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4209b9-5ab8-4405-b9bd-a4f339d4a74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4ded56-0917-447e-b0eb-d0d53783ca17}" ma:internalName="TaxCatchAll" ma:showField="CatchAllData" ma:web="1d4209b9-5ab8-4405-b9bd-a4f339d4a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e8d1305-7e0b-4c86-9cf5-5ba13b0d5617">
      <Terms xmlns="http://schemas.microsoft.com/office/infopath/2007/PartnerControls"/>
    </lcf76f155ced4ddcb4097134ff3c332f>
    <TaxCatchAll xmlns="1d4209b9-5ab8-4405-b9bd-a4f339d4a74a">
      <Value>2</Value>
      <Value>1</Value>
    </TaxCatchAll>
  </documentManagement>
</p:properties>
</file>

<file path=customXml/itemProps1.xml><?xml version="1.0" encoding="utf-8"?>
<ds:datastoreItem xmlns:ds="http://schemas.openxmlformats.org/officeDocument/2006/customXml" ds:itemID="{272E80BD-8840-49EC-99BB-8D66B280F520}"/>
</file>

<file path=customXml/itemProps2.xml><?xml version="1.0" encoding="utf-8"?>
<ds:datastoreItem xmlns:ds="http://schemas.openxmlformats.org/officeDocument/2006/customXml" ds:itemID="{C2232D63-EBD4-42FD-96A8-9941F203F964}"/>
</file>

<file path=customXml/itemProps3.xml><?xml version="1.0" encoding="utf-8"?>
<ds:datastoreItem xmlns:ds="http://schemas.openxmlformats.org/officeDocument/2006/customXml" ds:itemID="{6E58FC93-A53A-477E-BCDC-B3E83E10B28E}"/>
</file>

<file path=customXml/itemProps4.xml><?xml version="1.0" encoding="utf-8"?>
<ds:datastoreItem xmlns:ds="http://schemas.openxmlformats.org/officeDocument/2006/customXml" ds:itemID="{616F58F2-E958-4FA2-BD77-F6B133CB30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Register</vt:lpstr>
      <vt:lpstr>Risk Matrix</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Akram Miriyev</dc:creator>
  <cp:lastModifiedBy>Akram Miriyev</cp:lastModifiedBy>
  <dcterms:created xsi:type="dcterms:W3CDTF">2026-05-29T11:00:00Z</dcterms:created>
  <dcterms:modified xsi:type="dcterms:W3CDTF">2026-06-30T18:53:28Z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0x01010007C2EFC0DEC44649B2082791F9559BBB</vt:lpwstr>
  </property>
  <property fmtid="{D5CDD505-2E9C-101B-9397-08002B2CF9AE}" pid="4" name="TNOC_DocumentType">
    <vt:lpwstr/>
  </property>
  <property fmtid="{D5CDD505-2E9C-101B-9397-08002B2CF9AE}" pid="5" name="_dlc_DocIdItemGuid">
    <vt:lpwstr>f4c93644-f3ba-4f83-9bbc-85319fe5d189</vt:lpwstr>
  </property>
  <property fmtid="{D5CDD505-2E9C-101B-9397-08002B2CF9AE}" pid="6" name="TNOC_DocumentCategory">
    <vt:lpwstr/>
  </property>
  <property fmtid="{D5CDD505-2E9C-101B-9397-08002B2CF9AE}" pid="7" name="TNOC_ClusterType">
    <vt:lpwstr>2;#Project|fa11c4c9-105f-402c-bb40-9a56b4989397</vt:lpwstr>
  </property>
  <property fmtid="{D5CDD505-2E9C-101B-9397-08002B2CF9AE}" pid="8" name="TNOC_DocumentClassification">
    <vt:lpwstr>1;#TNO Internal|1a23c89f-ef54-4907-86fd-8242403ff722</vt:lpwstr>
  </property>
</Properties>
</file>